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volatileDependencies.xml" ContentType="application/vnd.openxmlformats-officedocument.spreadsheetml.volatileDependenc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05" windowWidth="18960" windowHeight="8520"/>
  </bookViews>
  <sheets>
    <sheet name="Cell" sheetId="1" r:id="rId1"/>
    <sheet name="Table" sheetId="8" r:id="rId2"/>
    <sheet name="Param" sheetId="4" r:id="rId3"/>
    <sheet name="Functions" sheetId="5" r:id="rId4"/>
    <sheet name="Array" sheetId="7" r:id="rId5"/>
    <sheet name="Shared" sheetId="6" r:id="rId6"/>
    <sheet name="TableOp" sheetId="9" r:id="rId7"/>
  </sheets>
  <externalReferences>
    <externalReference r:id="rId8"/>
  </externalReferences>
  <definedNames>
    <definedName name="shared_test">Shared!$N$4</definedName>
  </definedNames>
  <calcPr calcId="125725"/>
</workbook>
</file>

<file path=xl/calcChain.xml><?xml version="1.0" encoding="utf-8"?>
<calcChain xmlns="http://schemas.openxmlformats.org/spreadsheetml/2006/main">
  <c r="N24" i="1"/>
  <c r="G14" i="8"/>
  <c r="G13"/>
  <c r="G7"/>
  <c r="O37"/>
  <c r="N37"/>
  <c r="V37" s="1"/>
  <c r="M37"/>
  <c r="U37" s="1"/>
  <c r="L37"/>
  <c r="O36"/>
  <c r="W36" s="1"/>
  <c r="N36"/>
  <c r="V36" s="1"/>
  <c r="M36"/>
  <c r="U36" s="1"/>
  <c r="L36"/>
  <c r="T36" s="1"/>
  <c r="O35"/>
  <c r="W35" s="1"/>
  <c r="N35"/>
  <c r="V35" s="1"/>
  <c r="M35"/>
  <c r="U35" s="1"/>
  <c r="L35"/>
  <c r="T35" s="1"/>
  <c r="O34"/>
  <c r="N34"/>
  <c r="V34" s="1"/>
  <c r="M34"/>
  <c r="U34" s="1"/>
  <c r="L34"/>
  <c r="W37"/>
  <c r="T37"/>
  <c r="W34"/>
  <c r="T34"/>
  <c r="O30"/>
  <c r="O29"/>
  <c r="W29" s="1"/>
  <c r="O28"/>
  <c r="W28" s="1"/>
  <c r="O27"/>
  <c r="O26"/>
  <c r="W26" s="1"/>
  <c r="O25"/>
  <c r="W25" s="1"/>
  <c r="O24"/>
  <c r="N30"/>
  <c r="V30" s="1"/>
  <c r="N29"/>
  <c r="N28"/>
  <c r="V28" s="1"/>
  <c r="N27"/>
  <c r="N26"/>
  <c r="V26" s="1"/>
  <c r="N25"/>
  <c r="V25" s="1"/>
  <c r="N24"/>
  <c r="M30"/>
  <c r="M29"/>
  <c r="U29" s="1"/>
  <c r="M28"/>
  <c r="U28" s="1"/>
  <c r="M27"/>
  <c r="U27" s="1"/>
  <c r="M26"/>
  <c r="U26" s="1"/>
  <c r="M25"/>
  <c r="U25" s="1"/>
  <c r="M24"/>
  <c r="U24" s="1"/>
  <c r="L30"/>
  <c r="T30" s="1"/>
  <c r="L29"/>
  <c r="T29" s="1"/>
  <c r="L28"/>
  <c r="L27"/>
  <c r="T27" s="1"/>
  <c r="L26"/>
  <c r="T26" s="1"/>
  <c r="L25"/>
  <c r="T25" s="1"/>
  <c r="L24"/>
  <c r="W30"/>
  <c r="U30"/>
  <c r="V29"/>
  <c r="T28"/>
  <c r="W27"/>
  <c r="V27"/>
  <c r="W24"/>
  <c r="V24"/>
  <c r="T24"/>
  <c r="O20"/>
  <c r="W20" s="1"/>
  <c r="N20"/>
  <c r="V20" s="1"/>
  <c r="M20"/>
  <c r="U20" s="1"/>
  <c r="L20"/>
  <c r="T20" s="1"/>
  <c r="O19"/>
  <c r="W19" s="1"/>
  <c r="N19"/>
  <c r="V19" s="1"/>
  <c r="M19"/>
  <c r="U19" s="1"/>
  <c r="L19"/>
  <c r="T19" s="1"/>
  <c r="O18"/>
  <c r="W18" s="1"/>
  <c r="N18"/>
  <c r="V18" s="1"/>
  <c r="M18"/>
  <c r="U18" s="1"/>
  <c r="L18"/>
  <c r="T18" s="1"/>
  <c r="L17"/>
  <c r="T17" s="1"/>
  <c r="M17"/>
  <c r="U17" s="1"/>
  <c r="N17"/>
  <c r="V17" s="1"/>
  <c r="O17"/>
  <c r="W17" s="1"/>
  <c r="T7"/>
  <c r="O13"/>
  <c r="W13" s="1"/>
  <c r="N13"/>
  <c r="V13" s="1"/>
  <c r="O11"/>
  <c r="W11" s="1"/>
  <c r="N11"/>
  <c r="V11" s="1"/>
  <c r="O10"/>
  <c r="W10" s="1"/>
  <c r="N10"/>
  <c r="V10" s="1"/>
  <c r="L7"/>
  <c r="O9"/>
  <c r="W9" s="1"/>
  <c r="N9"/>
  <c r="V9" s="1"/>
  <c r="M7"/>
  <c r="U7" s="1"/>
  <c r="M13"/>
  <c r="U13" s="1"/>
  <c r="L13"/>
  <c r="T13" s="1"/>
  <c r="M11"/>
  <c r="U11" s="1"/>
  <c r="L11"/>
  <c r="T11" s="1"/>
  <c r="M10"/>
  <c r="U10" s="1"/>
  <c r="L10"/>
  <c r="T10" s="1"/>
  <c r="M9"/>
  <c r="U9" s="1"/>
  <c r="L9"/>
  <c r="T9" s="1"/>
  <c r="O8"/>
  <c r="W8" s="1"/>
  <c r="N8"/>
  <c r="V8" s="1"/>
  <c r="M8"/>
  <c r="U8" s="1"/>
  <c r="L8"/>
  <c r="T8" s="1"/>
  <c r="M12"/>
  <c r="U12" s="1"/>
  <c r="L12"/>
  <c r="T12" s="1"/>
  <c r="O12"/>
  <c r="W12" s="1"/>
  <c r="N12"/>
  <c r="V12" s="1"/>
  <c r="I14"/>
  <c r="O7"/>
  <c r="W7" s="1"/>
  <c r="N7"/>
  <c r="V7" s="1"/>
  <c r="D17"/>
  <c r="D16"/>
  <c r="G16" s="1"/>
  <c r="D14"/>
  <c r="D15"/>
  <c r="G15" s="1"/>
  <c r="B27" i="7" a="1"/>
  <c r="B28" s="1"/>
  <c r="F28" s="1"/>
  <c r="B40" i="9"/>
  <c r="F31"/>
  <c r="E31"/>
  <c r="D31"/>
  <c r="C31"/>
  <c r="N51"/>
  <c r="M51"/>
  <c r="L51"/>
  <c r="K51"/>
  <c r="N50"/>
  <c r="M50"/>
  <c r="L50"/>
  <c r="K50"/>
  <c r="N49"/>
  <c r="M49"/>
  <c r="L49"/>
  <c r="K49"/>
  <c r="N48"/>
  <c r="M48"/>
  <c r="L48"/>
  <c r="K48"/>
  <c r="B47"/>
  <c r="N43"/>
  <c r="M43"/>
  <c r="L43"/>
  <c r="K43"/>
  <c r="B43"/>
  <c r="N42"/>
  <c r="M42"/>
  <c r="L42"/>
  <c r="K42"/>
  <c r="B42"/>
  <c r="N41"/>
  <c r="M41"/>
  <c r="L41"/>
  <c r="K41"/>
  <c r="B41"/>
  <c r="N40"/>
  <c r="M40"/>
  <c r="L40"/>
  <c r="K40"/>
  <c r="N35"/>
  <c r="M35"/>
  <c r="L35"/>
  <c r="K35"/>
  <c r="N34"/>
  <c r="M34"/>
  <c r="L34"/>
  <c r="K34"/>
  <c r="N33"/>
  <c r="M33"/>
  <c r="L33"/>
  <c r="K33"/>
  <c r="N32"/>
  <c r="M32"/>
  <c r="L32"/>
  <c r="K32"/>
  <c r="F7"/>
  <c r="E7"/>
  <c r="N27"/>
  <c r="M27"/>
  <c r="L27"/>
  <c r="K27"/>
  <c r="N26"/>
  <c r="M26"/>
  <c r="L26"/>
  <c r="K26"/>
  <c r="N25"/>
  <c r="M25"/>
  <c r="L25"/>
  <c r="K25"/>
  <c r="N24"/>
  <c r="M24"/>
  <c r="L24"/>
  <c r="K24"/>
  <c r="N19"/>
  <c r="M19"/>
  <c r="L19"/>
  <c r="K19"/>
  <c r="N18"/>
  <c r="M18"/>
  <c r="L18"/>
  <c r="K18"/>
  <c r="N17"/>
  <c r="M17"/>
  <c r="L17"/>
  <c r="K17"/>
  <c r="N16"/>
  <c r="M16"/>
  <c r="L16"/>
  <c r="K16"/>
  <c r="N11"/>
  <c r="M11"/>
  <c r="L11"/>
  <c r="K11"/>
  <c r="N10"/>
  <c r="M10"/>
  <c r="L10"/>
  <c r="K10"/>
  <c r="N9"/>
  <c r="M9"/>
  <c r="L9"/>
  <c r="K9"/>
  <c r="N8"/>
  <c r="M8"/>
  <c r="L8"/>
  <c r="K8"/>
  <c r="B23"/>
  <c r="B19"/>
  <c r="B18"/>
  <c r="B17"/>
  <c r="B16"/>
  <c r="D7"/>
  <c r="C7"/>
  <c r="U42" i="1"/>
  <c r="W42" s="1"/>
  <c r="U26"/>
  <c r="U27"/>
  <c r="U28"/>
  <c r="W28" s="1"/>
  <c r="U25"/>
  <c r="U21"/>
  <c r="U22"/>
  <c r="U41"/>
  <c r="W41" s="1"/>
  <c r="U40"/>
  <c r="W40" s="1"/>
  <c r="U39"/>
  <c r="W39" s="1"/>
  <c r="U38"/>
  <c r="W38" s="1"/>
  <c r="U37"/>
  <c r="W37" s="1"/>
  <c r="U36"/>
  <c r="W36" s="1"/>
  <c r="U35"/>
  <c r="W35" s="1"/>
  <c r="U34"/>
  <c r="W34" s="1"/>
  <c r="U33"/>
  <c r="W33" s="1"/>
  <c r="U32"/>
  <c r="W32" s="1"/>
  <c r="P9" i="5"/>
  <c r="R9" s="1"/>
  <c r="K103"/>
  <c r="M103" s="1"/>
  <c r="K49"/>
  <c r="M49" s="1"/>
  <c r="K39"/>
  <c r="M39" s="1"/>
  <c r="C135"/>
  <c r="E135" s="1"/>
  <c r="C107"/>
  <c r="E107" s="1"/>
  <c r="C59"/>
  <c r="C58"/>
  <c r="E58" s="1"/>
  <c r="C57"/>
  <c r="E57" s="1"/>
  <c r="C56"/>
  <c r="E56" s="1"/>
  <c r="C36"/>
  <c r="E36" s="1"/>
  <c r="C35"/>
  <c r="E35" s="1"/>
  <c r="K17"/>
  <c r="M17" s="1"/>
  <c r="K18"/>
  <c r="C10"/>
  <c r="C9"/>
  <c r="E9" s="1"/>
  <c r="W27" i="1"/>
  <c r="W26"/>
  <c r="W25"/>
  <c r="W22"/>
  <c r="W21"/>
  <c r="I7" i="8"/>
  <c r="B18"/>
  <c r="G21" s="1"/>
  <c r="I21" s="1"/>
  <c r="D6"/>
  <c r="D7"/>
  <c r="D8"/>
  <c r="D9"/>
  <c r="D10"/>
  <c r="D11"/>
  <c r="D12"/>
  <c r="D13"/>
  <c r="C18"/>
  <c r="G22" s="1"/>
  <c r="I22" s="1"/>
  <c r="A18"/>
  <c r="G20" s="1"/>
  <c r="I20" s="1"/>
  <c r="G8"/>
  <c r="I8" s="1"/>
  <c r="U13" i="1"/>
  <c r="W13" s="1"/>
  <c r="K124" i="5"/>
  <c r="M124" s="1"/>
  <c r="B22" i="7" a="1"/>
  <c r="B23" s="1"/>
  <c r="F23" s="1"/>
  <c r="B20" a="1"/>
  <c r="B21" s="1"/>
  <c r="F21" s="1"/>
  <c r="C20"/>
  <c r="G20" s="1"/>
  <c r="B18" a="1"/>
  <c r="B19" s="1"/>
  <c r="F19" s="1"/>
  <c r="B11" a="1"/>
  <c r="B12" s="1"/>
  <c r="F12" s="1"/>
  <c r="B9" a="1"/>
  <c r="B10" s="1"/>
  <c r="F10" s="1"/>
  <c r="C10"/>
  <c r="G10" s="1"/>
  <c r="B13" a="1"/>
  <c r="B14" s="1"/>
  <c r="F14" s="1"/>
  <c r="B7" a="1"/>
  <c r="B8" s="1"/>
  <c r="F8" s="1"/>
  <c r="E59" i="5"/>
  <c r="E10"/>
  <c r="J21" i="6"/>
  <c r="K17"/>
  <c r="L16"/>
  <c r="K16"/>
  <c r="L15"/>
  <c r="L14"/>
  <c r="K14"/>
  <c r="J14"/>
  <c r="Q24"/>
  <c r="E24" s="1"/>
  <c r="P24"/>
  <c r="D24" s="1"/>
  <c r="O24"/>
  <c r="C24" s="1"/>
  <c r="N24"/>
  <c r="B24" s="1"/>
  <c r="Q23"/>
  <c r="E23" s="1"/>
  <c r="P23"/>
  <c r="D23" s="1"/>
  <c r="O23"/>
  <c r="C23" s="1"/>
  <c r="N23"/>
  <c r="B23" s="1"/>
  <c r="Q22"/>
  <c r="E22" s="1"/>
  <c r="P22"/>
  <c r="O22"/>
  <c r="N22"/>
  <c r="Q21"/>
  <c r="E21" s="1"/>
  <c r="P21"/>
  <c r="O21"/>
  <c r="N21"/>
  <c r="I24"/>
  <c r="H24"/>
  <c r="G24"/>
  <c r="F24"/>
  <c r="I23"/>
  <c r="H23"/>
  <c r="G23"/>
  <c r="F23"/>
  <c r="I22"/>
  <c r="I21"/>
  <c r="Q17"/>
  <c r="E17" s="1"/>
  <c r="P17"/>
  <c r="D17" s="1"/>
  <c r="O17"/>
  <c r="N17"/>
  <c r="B17" s="1"/>
  <c r="Q16"/>
  <c r="E16" s="1"/>
  <c r="P16"/>
  <c r="O16"/>
  <c r="N16"/>
  <c r="B16" s="1"/>
  <c r="Q15"/>
  <c r="E15" s="1"/>
  <c r="P15"/>
  <c r="O15"/>
  <c r="C15" s="1"/>
  <c r="N15"/>
  <c r="B15" s="1"/>
  <c r="Q14"/>
  <c r="E14" s="1"/>
  <c r="P14"/>
  <c r="O14"/>
  <c r="N14"/>
  <c r="I17"/>
  <c r="H17"/>
  <c r="F17"/>
  <c r="I16"/>
  <c r="F16"/>
  <c r="I15"/>
  <c r="G15"/>
  <c r="F15"/>
  <c r="I14"/>
  <c r="I10"/>
  <c r="H10"/>
  <c r="G10"/>
  <c r="F10"/>
  <c r="I9"/>
  <c r="H9"/>
  <c r="G9"/>
  <c r="F9"/>
  <c r="I8"/>
  <c r="H8"/>
  <c r="G8"/>
  <c r="F8"/>
  <c r="I7"/>
  <c r="H7"/>
  <c r="G7"/>
  <c r="F7"/>
  <c r="Q10"/>
  <c r="E10" s="1"/>
  <c r="M10" s="1"/>
  <c r="P10"/>
  <c r="D10" s="1"/>
  <c r="L10" s="1"/>
  <c r="O10"/>
  <c r="C10" s="1"/>
  <c r="K10" s="1"/>
  <c r="N10"/>
  <c r="B10" s="1"/>
  <c r="J10" s="1"/>
  <c r="Q9"/>
  <c r="E9" s="1"/>
  <c r="M9" s="1"/>
  <c r="P9"/>
  <c r="D9" s="1"/>
  <c r="L9" s="1"/>
  <c r="O9"/>
  <c r="C9" s="1"/>
  <c r="K9" s="1"/>
  <c r="N9"/>
  <c r="B9" s="1"/>
  <c r="J9" s="1"/>
  <c r="Q8"/>
  <c r="E8" s="1"/>
  <c r="M8" s="1"/>
  <c r="P8"/>
  <c r="D8" s="1"/>
  <c r="L8" s="1"/>
  <c r="O8"/>
  <c r="C8" s="1"/>
  <c r="K8" s="1"/>
  <c r="N8"/>
  <c r="B8" s="1"/>
  <c r="J8" s="1"/>
  <c r="Q7"/>
  <c r="E7" s="1"/>
  <c r="M7" s="1"/>
  <c r="P7"/>
  <c r="D7" s="1"/>
  <c r="L7" s="1"/>
  <c r="O7"/>
  <c r="C7" s="1"/>
  <c r="K7" s="1"/>
  <c r="N7"/>
  <c r="B7" s="1"/>
  <c r="J7" s="1"/>
  <c r="P10" i="5"/>
  <c r="R10" s="1"/>
  <c r="P11"/>
  <c r="R11" s="1"/>
  <c r="P8"/>
  <c r="R8" s="1"/>
  <c r="P7"/>
  <c r="R7" s="1"/>
  <c r="P107"/>
  <c r="R107" s="1"/>
  <c r="P106"/>
  <c r="R106" s="1"/>
  <c r="P105"/>
  <c r="R105" s="1"/>
  <c r="P104"/>
  <c r="R104" s="1"/>
  <c r="P103"/>
  <c r="R103" s="1"/>
  <c r="P102"/>
  <c r="R102" s="1"/>
  <c r="P101"/>
  <c r="R101" s="1"/>
  <c r="P100"/>
  <c r="R100" s="1"/>
  <c r="P99"/>
  <c r="R99" s="1"/>
  <c r="P98"/>
  <c r="R98" s="1"/>
  <c r="P97"/>
  <c r="R97" s="1"/>
  <c r="P96"/>
  <c r="R96" s="1"/>
  <c r="P95"/>
  <c r="R95" s="1"/>
  <c r="P94"/>
  <c r="R94" s="1"/>
  <c r="P93"/>
  <c r="R93" s="1"/>
  <c r="P92"/>
  <c r="R92" s="1"/>
  <c r="P91"/>
  <c r="R91" s="1"/>
  <c r="P90"/>
  <c r="R90" s="1"/>
  <c r="P89"/>
  <c r="R89" s="1"/>
  <c r="P88"/>
  <c r="R88" s="1"/>
  <c r="P87"/>
  <c r="R87" s="1"/>
  <c r="P86"/>
  <c r="R86" s="1"/>
  <c r="P85"/>
  <c r="R85" s="1"/>
  <c r="P84"/>
  <c r="R84" s="1"/>
  <c r="P83"/>
  <c r="R83" s="1"/>
  <c r="P82"/>
  <c r="R82" s="1"/>
  <c r="P81"/>
  <c r="R81" s="1"/>
  <c r="P80"/>
  <c r="R80" s="1"/>
  <c r="P79"/>
  <c r="R79" s="1"/>
  <c r="P78"/>
  <c r="R78" s="1"/>
  <c r="P77"/>
  <c r="R77" s="1"/>
  <c r="P76"/>
  <c r="R76" s="1"/>
  <c r="P75"/>
  <c r="R75" s="1"/>
  <c r="P74"/>
  <c r="R74" s="1"/>
  <c r="P73"/>
  <c r="R73" s="1"/>
  <c r="P72"/>
  <c r="R72" s="1"/>
  <c r="P71"/>
  <c r="R71" s="1"/>
  <c r="P70"/>
  <c r="R70" s="1"/>
  <c r="P69"/>
  <c r="R69" s="1"/>
  <c r="P68"/>
  <c r="R68" s="1"/>
  <c r="P67"/>
  <c r="R67" s="1"/>
  <c r="P66"/>
  <c r="R66" s="1"/>
  <c r="P65"/>
  <c r="R65" s="1"/>
  <c r="P64"/>
  <c r="R64" s="1"/>
  <c r="P63"/>
  <c r="R63" s="1"/>
  <c r="P62"/>
  <c r="R62" s="1"/>
  <c r="P61"/>
  <c r="R61" s="1"/>
  <c r="P60"/>
  <c r="R60" s="1"/>
  <c r="P59"/>
  <c r="R59" s="1"/>
  <c r="P58"/>
  <c r="R58" s="1"/>
  <c r="P57"/>
  <c r="R57" s="1"/>
  <c r="P56"/>
  <c r="R56" s="1"/>
  <c r="P55"/>
  <c r="R55" s="1"/>
  <c r="P54"/>
  <c r="R54" s="1"/>
  <c r="P53"/>
  <c r="R53" s="1"/>
  <c r="P52"/>
  <c r="R52" s="1"/>
  <c r="P51"/>
  <c r="R51" s="1"/>
  <c r="P50"/>
  <c r="R50" s="1"/>
  <c r="P49"/>
  <c r="R49" s="1"/>
  <c r="P48"/>
  <c r="R48" s="1"/>
  <c r="P47"/>
  <c r="R47" s="1"/>
  <c r="P46"/>
  <c r="R46" s="1"/>
  <c r="P45"/>
  <c r="R45" s="1"/>
  <c r="P44"/>
  <c r="R44" s="1"/>
  <c r="P43"/>
  <c r="R43" s="1"/>
  <c r="P42"/>
  <c r="R42" s="1"/>
  <c r="P41"/>
  <c r="R41" s="1"/>
  <c r="P40"/>
  <c r="R40" s="1"/>
  <c r="P39"/>
  <c r="R39" s="1"/>
  <c r="P38"/>
  <c r="R38" s="1"/>
  <c r="P37"/>
  <c r="R37" s="1"/>
  <c r="P36"/>
  <c r="R36" s="1"/>
  <c r="P35"/>
  <c r="R35" s="1"/>
  <c r="P34"/>
  <c r="R34" s="1"/>
  <c r="P33"/>
  <c r="R33" s="1"/>
  <c r="P32"/>
  <c r="R32" s="1"/>
  <c r="P31"/>
  <c r="R31" s="1"/>
  <c r="P30"/>
  <c r="R30" s="1"/>
  <c r="P29"/>
  <c r="R29" s="1"/>
  <c r="P28"/>
  <c r="R28" s="1"/>
  <c r="P27"/>
  <c r="R27" s="1"/>
  <c r="P26"/>
  <c r="R26" s="1"/>
  <c r="P25"/>
  <c r="R25" s="1"/>
  <c r="P24"/>
  <c r="R24" s="1"/>
  <c r="P23"/>
  <c r="R23" s="1"/>
  <c r="P22"/>
  <c r="R22" s="1"/>
  <c r="P21"/>
  <c r="R21" s="1"/>
  <c r="P20"/>
  <c r="R20" s="1"/>
  <c r="P19"/>
  <c r="R19" s="1"/>
  <c r="P18"/>
  <c r="R18" s="1"/>
  <c r="P17"/>
  <c r="R17" s="1"/>
  <c r="P16"/>
  <c r="R16" s="1"/>
  <c r="P15"/>
  <c r="R15" s="1"/>
  <c r="P121"/>
  <c r="R121" s="1"/>
  <c r="P120"/>
  <c r="R120" s="1"/>
  <c r="P119"/>
  <c r="R119" s="1"/>
  <c r="P118"/>
  <c r="R118" s="1"/>
  <c r="P117"/>
  <c r="R117" s="1"/>
  <c r="P116"/>
  <c r="R116" s="1"/>
  <c r="P115"/>
  <c r="R115" s="1"/>
  <c r="P114"/>
  <c r="R114" s="1"/>
  <c r="P113"/>
  <c r="R113" s="1"/>
  <c r="P112"/>
  <c r="R112" s="1"/>
  <c r="P111"/>
  <c r="R111" s="1"/>
  <c r="K132"/>
  <c r="M132" s="1"/>
  <c r="K131"/>
  <c r="M131" s="1"/>
  <c r="K130"/>
  <c r="M130" s="1"/>
  <c r="K129"/>
  <c r="M129" s="1"/>
  <c r="K128"/>
  <c r="M128" s="1"/>
  <c r="K127"/>
  <c r="M127" s="1"/>
  <c r="K126"/>
  <c r="M126" s="1"/>
  <c r="K119"/>
  <c r="M119" s="1"/>
  <c r="K118"/>
  <c r="M118" s="1"/>
  <c r="K117"/>
  <c r="M117" s="1"/>
  <c r="K116"/>
  <c r="M116" s="1"/>
  <c r="K115"/>
  <c r="M115" s="1"/>
  <c r="K114"/>
  <c r="M114" s="1"/>
  <c r="K113"/>
  <c r="M113" s="1"/>
  <c r="K112"/>
  <c r="M112" s="1"/>
  <c r="K111"/>
  <c r="M111" s="1"/>
  <c r="K110"/>
  <c r="M110" s="1"/>
  <c r="K109"/>
  <c r="M109" s="1"/>
  <c r="K108"/>
  <c r="M108" s="1"/>
  <c r="K107"/>
  <c r="M107" s="1"/>
  <c r="K102"/>
  <c r="M102" s="1"/>
  <c r="K101"/>
  <c r="M101" s="1"/>
  <c r="K100"/>
  <c r="M100" s="1"/>
  <c r="K99"/>
  <c r="M99" s="1"/>
  <c r="K98"/>
  <c r="M98" s="1"/>
  <c r="K97"/>
  <c r="M97" s="1"/>
  <c r="K96"/>
  <c r="M96" s="1"/>
  <c r="K95"/>
  <c r="M95" s="1"/>
  <c r="K94"/>
  <c r="M94" s="1"/>
  <c r="K93"/>
  <c r="M93" s="1"/>
  <c r="K92"/>
  <c r="M92" s="1"/>
  <c r="K91"/>
  <c r="M91" s="1"/>
  <c r="K90"/>
  <c r="M90" s="1"/>
  <c r="K89"/>
  <c r="M89" s="1"/>
  <c r="K88"/>
  <c r="M88" s="1"/>
  <c r="K87"/>
  <c r="M87" s="1"/>
  <c r="K86"/>
  <c r="M86" s="1"/>
  <c r="K85"/>
  <c r="M85" s="1"/>
  <c r="K84"/>
  <c r="M84" s="1"/>
  <c r="K83"/>
  <c r="M83" s="1"/>
  <c r="K82"/>
  <c r="M82" s="1"/>
  <c r="K81"/>
  <c r="M81" s="1"/>
  <c r="K80"/>
  <c r="M80" s="1"/>
  <c r="K79"/>
  <c r="M79" s="1"/>
  <c r="K78"/>
  <c r="M78" s="1"/>
  <c r="K77"/>
  <c r="M77" s="1"/>
  <c r="K76"/>
  <c r="M76" s="1"/>
  <c r="K75"/>
  <c r="M75" s="1"/>
  <c r="K74"/>
  <c r="M74" s="1"/>
  <c r="K73"/>
  <c r="M73" s="1"/>
  <c r="K72"/>
  <c r="M72" s="1"/>
  <c r="K71"/>
  <c r="M71" s="1"/>
  <c r="K70"/>
  <c r="M70" s="1"/>
  <c r="K69"/>
  <c r="M69" s="1"/>
  <c r="K68"/>
  <c r="M68" s="1"/>
  <c r="K67"/>
  <c r="M67" s="1"/>
  <c r="K66"/>
  <c r="M66" s="1"/>
  <c r="K65"/>
  <c r="M65" s="1"/>
  <c r="K64"/>
  <c r="M64" s="1"/>
  <c r="K63"/>
  <c r="M63" s="1"/>
  <c r="K62"/>
  <c r="M62" s="1"/>
  <c r="K61"/>
  <c r="M61" s="1"/>
  <c r="K60"/>
  <c r="M60" s="1"/>
  <c r="K59"/>
  <c r="M59" s="1"/>
  <c r="K58"/>
  <c r="M58" s="1"/>
  <c r="K57"/>
  <c r="M57" s="1"/>
  <c r="K56"/>
  <c r="M56" s="1"/>
  <c r="K55"/>
  <c r="M55" s="1"/>
  <c r="K54"/>
  <c r="M54" s="1"/>
  <c r="K53"/>
  <c r="M53" s="1"/>
  <c r="K52"/>
  <c r="M52" s="1"/>
  <c r="K51"/>
  <c r="M51" s="1"/>
  <c r="K50"/>
  <c r="M50" s="1"/>
  <c r="K48"/>
  <c r="M48" s="1"/>
  <c r="K47"/>
  <c r="M47" s="1"/>
  <c r="K46"/>
  <c r="M46" s="1"/>
  <c r="K45"/>
  <c r="M45" s="1"/>
  <c r="K44"/>
  <c r="M44" s="1"/>
  <c r="K43"/>
  <c r="M43" s="1"/>
  <c r="K42"/>
  <c r="M42" s="1"/>
  <c r="K41"/>
  <c r="M41" s="1"/>
  <c r="K40"/>
  <c r="M40" s="1"/>
  <c r="K38"/>
  <c r="M38" s="1"/>
  <c r="K37"/>
  <c r="M37" s="1"/>
  <c r="K36"/>
  <c r="M36" s="1"/>
  <c r="K32"/>
  <c r="M32" s="1"/>
  <c r="K31"/>
  <c r="M31" s="1"/>
  <c r="K30"/>
  <c r="M30" s="1"/>
  <c r="K29"/>
  <c r="M29" s="1"/>
  <c r="K28"/>
  <c r="M28" s="1"/>
  <c r="K27"/>
  <c r="M27" s="1"/>
  <c r="K26"/>
  <c r="M26" s="1"/>
  <c r="K25"/>
  <c r="M25" s="1"/>
  <c r="K24"/>
  <c r="M24" s="1"/>
  <c r="K23"/>
  <c r="M23" s="1"/>
  <c r="K22"/>
  <c r="M22" s="1"/>
  <c r="K21"/>
  <c r="M21" s="1"/>
  <c r="K20"/>
  <c r="M20" s="1"/>
  <c r="K19"/>
  <c r="M19" s="1"/>
  <c r="K16"/>
  <c r="M16" s="1"/>
  <c r="K15"/>
  <c r="M15" s="1"/>
  <c r="K14"/>
  <c r="M14" s="1"/>
  <c r="K13"/>
  <c r="M13" s="1"/>
  <c r="K12"/>
  <c r="M12" s="1"/>
  <c r="K11"/>
  <c r="M11" s="1"/>
  <c r="K10"/>
  <c r="M10" s="1"/>
  <c r="K9"/>
  <c r="M9" s="1"/>
  <c r="K8"/>
  <c r="M8" s="1"/>
  <c r="K7"/>
  <c r="M7" s="1"/>
  <c r="C136"/>
  <c r="E136" s="1"/>
  <c r="C134"/>
  <c r="E134" s="1"/>
  <c r="C133"/>
  <c r="E133" s="1"/>
  <c r="C132"/>
  <c r="E132" s="1"/>
  <c r="C131"/>
  <c r="E131" s="1"/>
  <c r="C130"/>
  <c r="E130" s="1"/>
  <c r="C129"/>
  <c r="E129" s="1"/>
  <c r="C128"/>
  <c r="E128" s="1"/>
  <c r="C127"/>
  <c r="E127" s="1"/>
  <c r="C126"/>
  <c r="E126" s="1"/>
  <c r="C125"/>
  <c r="E125" s="1"/>
  <c r="C124"/>
  <c r="E124" s="1"/>
  <c r="C123"/>
  <c r="E123" s="1"/>
  <c r="C122"/>
  <c r="E122" s="1"/>
  <c r="C121"/>
  <c r="E121" s="1"/>
  <c r="C120"/>
  <c r="E120" s="1"/>
  <c r="C119"/>
  <c r="E119" s="1"/>
  <c r="K125"/>
  <c r="P122"/>
  <c r="K123"/>
  <c r="P126"/>
  <c r="C118"/>
  <c r="R126" l="1"/>
  <c r="C28" i="7"/>
  <c r="G28" s="1"/>
  <c r="J15" i="6"/>
  <c r="J17"/>
  <c r="D21"/>
  <c r="G36" i="8"/>
  <c r="I36" s="1"/>
  <c r="I16"/>
  <c r="G34"/>
  <c r="I34" s="1"/>
  <c r="G35"/>
  <c r="I35" s="1"/>
  <c r="G33"/>
  <c r="I33" s="1"/>
  <c r="G29"/>
  <c r="I29" s="1"/>
  <c r="G32"/>
  <c r="I32" s="1"/>
  <c r="G27"/>
  <c r="I27" s="1"/>
  <c r="G31"/>
  <c r="I31" s="1"/>
  <c r="G28"/>
  <c r="I28" s="1"/>
  <c r="G30"/>
  <c r="I30" s="1"/>
  <c r="I15"/>
  <c r="I13"/>
  <c r="B27" i="7"/>
  <c r="F27" s="1"/>
  <c r="C27"/>
  <c r="G27" s="1"/>
  <c r="D22" i="6"/>
  <c r="L23"/>
  <c r="L24"/>
  <c r="J16"/>
  <c r="M14"/>
  <c r="M15"/>
  <c r="M16"/>
  <c r="M17"/>
  <c r="C21"/>
  <c r="C22"/>
  <c r="K23"/>
  <c r="K24"/>
  <c r="C21" i="7"/>
  <c r="G21" s="1"/>
  <c r="L17" i="6"/>
  <c r="B22"/>
  <c r="J23"/>
  <c r="J24"/>
  <c r="K15"/>
  <c r="M21"/>
  <c r="M22"/>
  <c r="M23"/>
  <c r="M24"/>
  <c r="C19" i="7"/>
  <c r="G19" s="1"/>
  <c r="M125" i="5"/>
  <c r="M123"/>
  <c r="B13" i="7"/>
  <c r="F13" s="1"/>
  <c r="C12"/>
  <c r="G12" s="1"/>
  <c r="C23"/>
  <c r="G23" s="1"/>
  <c r="C14"/>
  <c r="G14" s="1"/>
  <c r="B18"/>
  <c r="F18" s="1"/>
  <c r="C8"/>
  <c r="G8" s="1"/>
  <c r="M18" i="5"/>
  <c r="D18" i="8"/>
  <c r="G37" s="1"/>
  <c r="I37" s="1"/>
  <c r="G9"/>
  <c r="I9" s="1"/>
  <c r="B22" i="7"/>
  <c r="F22" s="1"/>
  <c r="C22"/>
  <c r="G22" s="1"/>
  <c r="B20"/>
  <c r="F20" s="1"/>
  <c r="C18"/>
  <c r="G18" s="1"/>
  <c r="B11"/>
  <c r="F11" s="1"/>
  <c r="C11"/>
  <c r="G11" s="1"/>
  <c r="B9"/>
  <c r="F9" s="1"/>
  <c r="C9"/>
  <c r="G9" s="1"/>
  <c r="C13"/>
  <c r="G13" s="1"/>
  <c r="B7"/>
  <c r="F7" s="1"/>
  <c r="C7"/>
  <c r="G7" s="1"/>
  <c r="R122" i="5"/>
  <c r="E118"/>
  <c r="F22" i="6"/>
  <c r="J22" s="1"/>
  <c r="H21"/>
  <c r="L21" s="1"/>
  <c r="H22"/>
  <c r="L22" s="1"/>
  <c r="G21"/>
  <c r="K21" s="1"/>
  <c r="G22"/>
  <c r="K22" s="1"/>
  <c r="C117" i="5"/>
  <c r="E117" s="1"/>
  <c r="C116"/>
  <c r="E116" s="1"/>
  <c r="C115"/>
  <c r="E115" s="1"/>
  <c r="C114"/>
  <c r="E114" s="1"/>
  <c r="C113"/>
  <c r="E113" s="1"/>
  <c r="C112"/>
  <c r="E112" s="1"/>
  <c r="C111"/>
  <c r="E111" s="1"/>
  <c r="C110"/>
  <c r="E110" s="1"/>
  <c r="C109"/>
  <c r="E109" s="1"/>
  <c r="C108"/>
  <c r="E108" s="1"/>
  <c r="C106"/>
  <c r="E106" s="1"/>
  <c r="C105"/>
  <c r="E105" s="1"/>
  <c r="C104"/>
  <c r="E104" s="1"/>
  <c r="C103"/>
  <c r="E103" s="1"/>
  <c r="C102"/>
  <c r="E102" s="1"/>
  <c r="C101"/>
  <c r="E101" s="1"/>
  <c r="C100"/>
  <c r="E100" s="1"/>
  <c r="C99"/>
  <c r="E99" s="1"/>
  <c r="C98"/>
  <c r="E98" s="1"/>
  <c r="C97"/>
  <c r="E97" s="1"/>
  <c r="C96"/>
  <c r="E96" s="1"/>
  <c r="C95"/>
  <c r="E95" s="1"/>
  <c r="C94"/>
  <c r="E94" s="1"/>
  <c r="C93"/>
  <c r="E93" s="1"/>
  <c r="C92"/>
  <c r="E92" s="1"/>
  <c r="C91"/>
  <c r="E91" s="1"/>
  <c r="C90"/>
  <c r="E90" s="1"/>
  <c r="C89"/>
  <c r="E89" s="1"/>
  <c r="C88"/>
  <c r="E88" s="1"/>
  <c r="C87"/>
  <c r="E87" s="1"/>
  <c r="C86"/>
  <c r="E86" s="1"/>
  <c r="C85"/>
  <c r="E85" s="1"/>
  <c r="C84"/>
  <c r="E84" s="1"/>
  <c r="C83"/>
  <c r="E83" s="1"/>
  <c r="C82"/>
  <c r="E82" s="1"/>
  <c r="C81"/>
  <c r="E81" s="1"/>
  <c r="C80"/>
  <c r="E80" s="1"/>
  <c r="C79"/>
  <c r="E79" s="1"/>
  <c r="C78"/>
  <c r="E78" s="1"/>
  <c r="C77"/>
  <c r="E77" s="1"/>
  <c r="C76"/>
  <c r="E76" s="1"/>
  <c r="C75"/>
  <c r="E75" s="1"/>
  <c r="C74"/>
  <c r="E74" s="1"/>
  <c r="C73"/>
  <c r="E73" s="1"/>
  <c r="C72"/>
  <c r="E72" s="1"/>
  <c r="C71"/>
  <c r="E71" s="1"/>
  <c r="C70"/>
  <c r="E70" s="1"/>
  <c r="C69"/>
  <c r="E69" s="1"/>
  <c r="C68"/>
  <c r="E68" s="1"/>
  <c r="C67"/>
  <c r="E67" s="1"/>
  <c r="C66"/>
  <c r="E66" s="1"/>
  <c r="C65"/>
  <c r="E65" s="1"/>
  <c r="C64"/>
  <c r="E64" s="1"/>
  <c r="C63"/>
  <c r="E63" s="1"/>
  <c r="C62"/>
  <c r="E62" s="1"/>
  <c r="C61"/>
  <c r="E61" s="1"/>
  <c r="C60"/>
  <c r="E60" s="1"/>
  <c r="C55"/>
  <c r="E55" s="1"/>
  <c r="C54"/>
  <c r="E54" s="1"/>
  <c r="C53"/>
  <c r="E53" s="1"/>
  <c r="C52"/>
  <c r="E52" s="1"/>
  <c r="C51"/>
  <c r="E51" s="1"/>
  <c r="C50"/>
  <c r="E50" s="1"/>
  <c r="C49"/>
  <c r="E49" s="1"/>
  <c r="C48"/>
  <c r="E48" s="1"/>
  <c r="C47"/>
  <c r="E47" s="1"/>
  <c r="C46"/>
  <c r="E46" s="1"/>
  <c r="C45"/>
  <c r="E45" s="1"/>
  <c r="C44"/>
  <c r="E44" s="1"/>
  <c r="C43"/>
  <c r="E43" s="1"/>
  <c r="C42"/>
  <c r="E42" s="1"/>
  <c r="C41"/>
  <c r="E41" s="1"/>
  <c r="C40"/>
  <c r="E40" s="1"/>
  <c r="C39"/>
  <c r="E39" s="1"/>
  <c r="C38"/>
  <c r="E38" s="1"/>
  <c r="C37"/>
  <c r="E37" s="1"/>
  <c r="C34"/>
  <c r="E34" s="1"/>
  <c r="C33"/>
  <c r="E33" s="1"/>
  <c r="C32"/>
  <c r="E32" s="1"/>
  <c r="C31"/>
  <c r="E31" s="1"/>
  <c r="C30"/>
  <c r="E30" s="1"/>
  <c r="C29"/>
  <c r="E29" s="1"/>
  <c r="C28"/>
  <c r="E28" s="1"/>
  <c r="C27"/>
  <c r="E27" s="1"/>
  <c r="C26"/>
  <c r="E26" s="1"/>
  <c r="C25"/>
  <c r="E25" s="1"/>
  <c r="C24"/>
  <c r="E24" s="1"/>
  <c r="C23"/>
  <c r="E23" s="1"/>
  <c r="C22"/>
  <c r="E22" s="1"/>
  <c r="C21"/>
  <c r="E21" s="1"/>
  <c r="C20"/>
  <c r="E20" s="1"/>
  <c r="C19"/>
  <c r="E19" s="1"/>
  <c r="C18"/>
  <c r="E18" s="1"/>
  <c r="C17"/>
  <c r="E17" s="1"/>
  <c r="C16"/>
  <c r="E16" s="1"/>
  <c r="C15"/>
  <c r="E15" s="1"/>
  <c r="C14"/>
  <c r="E14" s="1"/>
  <c r="C13"/>
  <c r="E13" s="1"/>
  <c r="C12"/>
  <c r="E12" s="1"/>
  <c r="C11"/>
  <c r="E11" s="1"/>
  <c r="C8"/>
  <c r="E8" s="1"/>
  <c r="C7"/>
  <c r="E7" s="1"/>
  <c r="B33" i="4"/>
  <c r="D33" s="1"/>
  <c r="B32"/>
  <c r="D32" s="1"/>
  <c r="B28"/>
  <c r="D28" s="1"/>
  <c r="B27"/>
  <c r="D27" s="1"/>
  <c r="B26"/>
  <c r="D26" s="1"/>
  <c r="B25"/>
  <c r="D25" s="1"/>
  <c r="B21"/>
  <c r="G39" i="8" l="1"/>
  <c r="I39" s="1"/>
  <c r="G40"/>
  <c r="I40" s="1"/>
  <c r="G38"/>
  <c r="I38" s="1"/>
  <c r="G23"/>
  <c r="I23" s="1"/>
  <c r="D21" i="4"/>
  <c r="B20"/>
  <c r="D20" s="1"/>
  <c r="B19"/>
  <c r="D19" s="1"/>
  <c r="B18"/>
  <c r="D18" s="1"/>
  <c r="B17"/>
  <c r="B16"/>
  <c r="D17" l="1"/>
  <c r="D16"/>
  <c r="B15"/>
  <c r="D15" s="1"/>
  <c r="B14"/>
  <c r="D14" s="1"/>
  <c r="B13"/>
  <c r="D13" s="1"/>
  <c r="B12"/>
  <c r="D12" s="1"/>
  <c r="B8"/>
  <c r="D8" s="1"/>
  <c r="B7"/>
  <c r="D7" s="1"/>
  <c r="U24" i="1" l="1"/>
  <c r="W24" s="1"/>
  <c r="U23"/>
  <c r="W23" s="1"/>
  <c r="U20"/>
  <c r="W20" s="1"/>
  <c r="U19"/>
  <c r="W19" s="1"/>
  <c r="U18"/>
  <c r="W18" s="1"/>
  <c r="U49"/>
  <c r="W49" s="1"/>
  <c r="U48"/>
  <c r="W48" s="1"/>
  <c r="U47"/>
  <c r="W47" s="1"/>
  <c r="U46"/>
  <c r="W46" s="1"/>
  <c r="U45"/>
  <c r="W45" s="1"/>
  <c r="U44"/>
  <c r="W44" s="1"/>
  <c r="U43"/>
  <c r="W43" s="1"/>
  <c r="U14"/>
  <c r="W14" s="1"/>
  <c r="U12"/>
  <c r="W12" s="1"/>
  <c r="U11"/>
  <c r="W11" s="1"/>
  <c r="U10"/>
  <c r="W10" s="1"/>
  <c r="U9"/>
  <c r="W9" s="1"/>
  <c r="U8"/>
  <c r="W8" s="1"/>
  <c r="U7"/>
  <c r="W7" s="1"/>
  <c r="N48"/>
  <c r="P48" s="1"/>
  <c r="N47"/>
  <c r="P47" s="1"/>
  <c r="N46"/>
  <c r="P46" s="1"/>
  <c r="N45"/>
  <c r="P45" s="1"/>
  <c r="N44"/>
  <c r="P44" s="1"/>
  <c r="N43"/>
  <c r="P43" s="1"/>
  <c r="N42"/>
  <c r="P42" s="1"/>
  <c r="N41"/>
  <c r="P41" s="1"/>
  <c r="N40"/>
  <c r="P40" s="1"/>
  <c r="N39"/>
  <c r="P39" s="1"/>
  <c r="N38"/>
  <c r="P38" s="1"/>
  <c r="N37"/>
  <c r="P37" s="1"/>
  <c r="N36"/>
  <c r="P36" s="1"/>
  <c r="N35"/>
  <c r="P35" s="1"/>
  <c r="N34"/>
  <c r="P34" s="1"/>
  <c r="N30"/>
  <c r="P30" s="1"/>
  <c r="N29"/>
  <c r="P29" s="1"/>
  <c r="N28"/>
  <c r="P28" s="1"/>
  <c r="P24"/>
  <c r="N23"/>
  <c r="P23" s="1"/>
  <c r="N22"/>
  <c r="P22" s="1"/>
  <c r="N20"/>
  <c r="P20" s="1"/>
  <c r="N21"/>
  <c r="P21" s="1"/>
  <c r="N19"/>
  <c r="P19" s="1"/>
  <c r="N18"/>
  <c r="P18" s="1"/>
  <c r="N17"/>
  <c r="P17" s="1"/>
  <c r="N16"/>
  <c r="P16" s="1"/>
  <c r="N15"/>
  <c r="P15" s="1"/>
  <c r="N14"/>
  <c r="P14" s="1"/>
  <c r="N13"/>
  <c r="P13" s="1"/>
  <c r="N12"/>
  <c r="P12" s="1"/>
  <c r="N11"/>
  <c r="P11" s="1"/>
  <c r="N10"/>
  <c r="P10" s="1"/>
  <c r="N9"/>
  <c r="P9" s="1"/>
  <c r="N8"/>
  <c r="P8" s="1"/>
  <c r="N7"/>
  <c r="P7" s="1"/>
  <c r="H70"/>
  <c r="J70" s="1"/>
  <c r="H69"/>
  <c r="J69" s="1"/>
  <c r="H68"/>
  <c r="J68" s="1"/>
  <c r="H67"/>
  <c r="J67" s="1"/>
  <c r="H66"/>
  <c r="J66" s="1"/>
  <c r="H65"/>
  <c r="J65" s="1"/>
  <c r="H64"/>
  <c r="J64" s="1"/>
  <c r="H63"/>
  <c r="J63" s="1"/>
  <c r="H62"/>
  <c r="J62" s="1"/>
  <c r="H61"/>
  <c r="J61" s="1"/>
  <c r="H60"/>
  <c r="J60" s="1"/>
  <c r="H59"/>
  <c r="J59" s="1"/>
  <c r="H58"/>
  <c r="J58" s="1"/>
  <c r="H57"/>
  <c r="J57" s="1"/>
  <c r="H56"/>
  <c r="J56" s="1"/>
  <c r="H55"/>
  <c r="J55" s="1"/>
  <c r="H54"/>
  <c r="J54" s="1"/>
  <c r="H53"/>
  <c r="J53" s="1"/>
  <c r="H52"/>
  <c r="J52" s="1"/>
  <c r="H51"/>
  <c r="J51" s="1"/>
  <c r="H50"/>
  <c r="J50" s="1"/>
  <c r="H49"/>
  <c r="J49" s="1"/>
  <c r="H48"/>
  <c r="J48" s="1"/>
  <c r="H47"/>
  <c r="J47" s="1"/>
  <c r="H46"/>
  <c r="J46" s="1"/>
  <c r="H45"/>
  <c r="J45" s="1"/>
  <c r="H44"/>
  <c r="J44" s="1"/>
  <c r="H43"/>
  <c r="J43" s="1"/>
  <c r="H42"/>
  <c r="J42" s="1"/>
  <c r="H41"/>
  <c r="J41" s="1"/>
  <c r="H40"/>
  <c r="J40" s="1"/>
  <c r="H39"/>
  <c r="J39" s="1"/>
  <c r="H38"/>
  <c r="J38" s="1"/>
  <c r="H37"/>
  <c r="J37" s="1"/>
  <c r="H36"/>
  <c r="J36" s="1"/>
  <c r="H35"/>
  <c r="J35" s="1"/>
  <c r="H34"/>
  <c r="J34" s="1"/>
  <c r="H33"/>
  <c r="J33" s="1"/>
  <c r="H32"/>
  <c r="J32" s="1"/>
  <c r="H31"/>
  <c r="J31" s="1"/>
  <c r="H30"/>
  <c r="J30" s="1"/>
  <c r="H29"/>
  <c r="J29" s="1"/>
  <c r="H28"/>
  <c r="J28" s="1"/>
  <c r="H27"/>
  <c r="J27" s="1"/>
  <c r="H26"/>
  <c r="J26" s="1"/>
  <c r="H25"/>
  <c r="J25" s="1"/>
  <c r="H24"/>
  <c r="J24" s="1"/>
  <c r="H23"/>
  <c r="J23" s="1"/>
  <c r="H22"/>
  <c r="J22" s="1"/>
  <c r="H21"/>
  <c r="J21" s="1"/>
  <c r="H20"/>
  <c r="J20" s="1"/>
  <c r="H19"/>
  <c r="J19" s="1"/>
  <c r="H18"/>
  <c r="J18" s="1"/>
  <c r="H17"/>
  <c r="J17" s="1"/>
  <c r="H16"/>
  <c r="J16" s="1"/>
  <c r="H15"/>
  <c r="J15" s="1"/>
  <c r="H14"/>
  <c r="J14" s="1"/>
  <c r="H13"/>
  <c r="J13" s="1"/>
  <c r="H12"/>
  <c r="J12" s="1"/>
  <c r="H11"/>
  <c r="J11" s="1"/>
  <c r="H10"/>
  <c r="J10" s="1"/>
  <c r="H9"/>
  <c r="J9" s="1"/>
  <c r="H8"/>
  <c r="J8" s="1"/>
  <c r="H7"/>
  <c r="J7" s="1"/>
  <c r="C49"/>
  <c r="E49" s="1"/>
  <c r="C48"/>
  <c r="E48" s="1"/>
  <c r="C47"/>
  <c r="E47" s="1"/>
  <c r="C46"/>
  <c r="E46" s="1"/>
  <c r="C45"/>
  <c r="E45" s="1"/>
  <c r="C44"/>
  <c r="E44" s="1"/>
  <c r="C40"/>
  <c r="E40" s="1"/>
  <c r="C39"/>
  <c r="E39" s="1"/>
  <c r="C38"/>
  <c r="E38" s="1"/>
  <c r="C37"/>
  <c r="E37" s="1"/>
  <c r="C36"/>
  <c r="E36" s="1"/>
  <c r="C35"/>
  <c r="E35" s="1"/>
  <c r="C31"/>
  <c r="E31" s="1"/>
  <c r="C30"/>
  <c r="E30" s="1"/>
  <c r="C29"/>
  <c r="E29" s="1"/>
  <c r="C28"/>
  <c r="E28" s="1"/>
  <c r="C24"/>
  <c r="E24" s="1"/>
  <c r="C23"/>
  <c r="E23" s="1"/>
  <c r="C22"/>
  <c r="E22" s="1"/>
  <c r="C21"/>
  <c r="E21" s="1"/>
  <c r="C20"/>
  <c r="E20" s="1"/>
  <c r="C19"/>
  <c r="E19" s="1"/>
  <c r="C18"/>
  <c r="E18" s="1"/>
  <c r="C17"/>
  <c r="E17" s="1"/>
  <c r="C16"/>
  <c r="E16" s="1"/>
  <c r="C15"/>
  <c r="E15" s="1"/>
  <c r="C14"/>
  <c r="E14" s="1"/>
  <c r="C13"/>
  <c r="E13" s="1"/>
  <c r="C12"/>
  <c r="E12" s="1"/>
  <c r="C11"/>
  <c r="E11" s="1"/>
  <c r="C10"/>
  <c r="E10" s="1"/>
  <c r="C9"/>
  <c r="E9" s="1"/>
  <c r="C8"/>
  <c r="E8" s="1"/>
  <c r="C7"/>
  <c r="E7" s="1"/>
</calcChain>
</file>

<file path=xl/sharedStrings.xml><?xml version="1.0" encoding="utf-8"?>
<sst xmlns="http://schemas.openxmlformats.org/spreadsheetml/2006/main" count="1048" uniqueCount="757">
  <si>
    <t>FORMULA TEST DOCUMENT</t>
  </si>
  <si>
    <t>1 - CELL FORMULAS</t>
  </si>
  <si>
    <t>1.1 - CONSTANT OPERANDS</t>
  </si>
  <si>
    <t>Token</t>
  </si>
  <si>
    <t>Formula</t>
  </si>
  <si>
    <t>Is</t>
  </si>
  <si>
    <t>Must</t>
  </si>
  <si>
    <t>Ok?</t>
  </si>
  <si>
    <t>tInt</t>
  </si>
  <si>
    <t>=1</t>
  </si>
  <si>
    <t>tNum</t>
  </si>
  <si>
    <t>=1.2345</t>
  </si>
  <si>
    <t>tStr</t>
  </si>
  <si>
    <t>=""</t>
  </si>
  <si>
    <t>="ABC"</t>
  </si>
  <si>
    <t>ABC</t>
  </si>
  <si>
    <t>="2"</t>
  </si>
  <si>
    <t>2</t>
  </si>
  <si>
    <t>tBool</t>
  </si>
  <si>
    <t>=FALSE</t>
  </si>
  <si>
    <t>=TRUE</t>
  </si>
  <si>
    <t>tErr(NULL)</t>
  </si>
  <si>
    <t>=#NULL!</t>
  </si>
  <si>
    <t>tErr(DIV/0)</t>
  </si>
  <si>
    <t>=#DIV/0!</t>
  </si>
  <si>
    <t>tErr(VALUE)</t>
  </si>
  <si>
    <t>=#VALUE!</t>
  </si>
  <si>
    <t>tErr(REF)</t>
  </si>
  <si>
    <t>=#REF!</t>
  </si>
  <si>
    <t>tErr(NAME)</t>
  </si>
  <si>
    <t>=#NAME?</t>
  </si>
  <si>
    <t>tErr(NUM)</t>
  </si>
  <si>
    <t>=#NUM!</t>
  </si>
  <si>
    <t>tErr(N/A)</t>
  </si>
  <si>
    <t>=#N/A</t>
  </si>
  <si>
    <t>tArray</t>
  </si>
  <si>
    <t>={1}</t>
  </si>
  <si>
    <t>={"ABC"}</t>
  </si>
  <si>
    <t>={TRUE}</t>
  </si>
  <si>
    <t>={#VALUE!}</t>
  </si>
  <si>
    <t>tParen</t>
  </si>
  <si>
    <t>=(1)</t>
  </si>
  <si>
    <t>tUPlus</t>
  </si>
  <si>
    <t>=+(2)</t>
  </si>
  <si>
    <t>tUMinus</t>
  </si>
  <si>
    <t>=-(3)</t>
  </si>
  <si>
    <t>tPercent</t>
  </si>
  <si>
    <t>=4%</t>
  </si>
  <si>
    <t>1.2 - UNARY OPERATORS</t>
  </si>
  <si>
    <t>1.3 - BINARY ARITHMETIC OPERATORS</t>
  </si>
  <si>
    <t>tAdd</t>
  </si>
  <si>
    <t>=3+2</t>
  </si>
  <si>
    <t>tSub</t>
  </si>
  <si>
    <t>=3-2</t>
  </si>
  <si>
    <t>tMul</t>
  </si>
  <si>
    <t>=3*2</t>
  </si>
  <si>
    <t>tDiv</t>
  </si>
  <si>
    <t>=3/2</t>
  </si>
  <si>
    <t>tPower</t>
  </si>
  <si>
    <t>=3^2</t>
  </si>
  <si>
    <t>tConcat</t>
  </si>
  <si>
    <t>="A"&amp;"B"</t>
  </si>
  <si>
    <t>AB</t>
  </si>
  <si>
    <t>1.4 - BINARY COMPARISON OPERATORS</t>
  </si>
  <si>
    <t>tLT</t>
  </si>
  <si>
    <t>=3&lt;2</t>
  </si>
  <si>
    <t>tLE</t>
  </si>
  <si>
    <t>=3&lt;=2</t>
  </si>
  <si>
    <t>tEQ</t>
  </si>
  <si>
    <t>=3=2</t>
  </si>
  <si>
    <t>tGE</t>
  </si>
  <si>
    <t>=3&gt;=2</t>
  </si>
  <si>
    <t>tGT</t>
  </si>
  <si>
    <t>=3&gt;2</t>
  </si>
  <si>
    <t>tNE</t>
  </si>
  <si>
    <t>=3&lt;&gt;2</t>
  </si>
  <si>
    <t>1.5 - OPERATOR PRECEDENCE</t>
  </si>
  <si>
    <t>=7*3+2</t>
  </si>
  <si>
    <t>=7*3+(2)</t>
  </si>
  <si>
    <t>=7*(3)+2</t>
  </si>
  <si>
    <t>=(7)*3+2</t>
  </si>
  <si>
    <t>=7*(3+2)</t>
  </si>
  <si>
    <t>=(7*3)+2</t>
  </si>
  <si>
    <t>=(7*3+2)</t>
  </si>
  <si>
    <t>=7+3*2</t>
  </si>
  <si>
    <t>=7+(3*2)</t>
  </si>
  <si>
    <t>=(7+3)*2</t>
  </si>
  <si>
    <t>=7^3*2</t>
  </si>
  <si>
    <t>=7^(3*2)</t>
  </si>
  <si>
    <t>=(7^3)*2</t>
  </si>
  <si>
    <t>=7*3^2</t>
  </si>
  <si>
    <t>=7*(3^2)</t>
  </si>
  <si>
    <t>=(7*3)^2</t>
  </si>
  <si>
    <t>=7^3+2</t>
  </si>
  <si>
    <t>=7^(3+2)</t>
  </si>
  <si>
    <t>=(7^3)+2</t>
  </si>
  <si>
    <t>=7+3^2</t>
  </si>
  <si>
    <t>=7+(3^2)</t>
  </si>
  <si>
    <t>=(7+3)^2</t>
  </si>
  <si>
    <t>=2^3*4+5</t>
  </si>
  <si>
    <t>=2^3*(4+5)</t>
  </si>
  <si>
    <t>=2^(3*4)+5</t>
  </si>
  <si>
    <t>=(2^3)*4+5</t>
  </si>
  <si>
    <t>=2^(3*4+5)</t>
  </si>
  <si>
    <t>=2^(3*(4+5))</t>
  </si>
  <si>
    <t>=2^((3*4)+5)</t>
  </si>
  <si>
    <t>=(2^3*4)+5</t>
  </si>
  <si>
    <t>=(2^(3*4))+5</t>
  </si>
  <si>
    <t>=((2^3)*4)+5</t>
  </si>
  <si>
    <t>=5+4*3^2</t>
  </si>
  <si>
    <t>=5+4*(3^2)</t>
  </si>
  <si>
    <t>=5+(4*3)^2</t>
  </si>
  <si>
    <t>=(5+4)*3^2</t>
  </si>
  <si>
    <t>=5+(4*3^2)</t>
  </si>
  <si>
    <t>=5+(4*(3^2))</t>
  </si>
  <si>
    <t>=5+((4*3)^2)</t>
  </si>
  <si>
    <t>=(5+4*3)^2</t>
  </si>
  <si>
    <t>=(5+(4*3))^2</t>
  </si>
  <si>
    <t>=((5+4)*3)^2</t>
  </si>
  <si>
    <t>=2^3/4-5</t>
  </si>
  <si>
    <t>=5-3/4^2</t>
  </si>
  <si>
    <t>=2+3&amp;7</t>
  </si>
  <si>
    <t>57</t>
  </si>
  <si>
    <t>=2+(3&amp;7)</t>
  </si>
  <si>
    <t>=(2+3)&amp;7</t>
  </si>
  <si>
    <t>=2+3=7</t>
  </si>
  <si>
    <t>=2+(3=7)</t>
  </si>
  <si>
    <t>=(2+3)=7</t>
  </si>
  <si>
    <t>=-(3)+2</t>
  </si>
  <si>
    <t>=-(3+2)</t>
  </si>
  <si>
    <t>=-(3)+-(2)</t>
  </si>
  <si>
    <t>=-(3)*2</t>
  </si>
  <si>
    <t>=-(3*2)</t>
  </si>
  <si>
    <t>=-(3)*-(2)</t>
  </si>
  <si>
    <t>=-(3)^2</t>
  </si>
  <si>
    <t>=-(3^2)</t>
  </si>
  <si>
    <t>=-(2)^-(2)</t>
  </si>
  <si>
    <t>=50%^200%</t>
  </si>
  <si>
    <t>=-(50)%^-(200)%</t>
  </si>
  <si>
    <t>=--50%^--200%</t>
  </si>
  <si>
    <t>=---(10000)%%%</t>
  </si>
  <si>
    <t>=-+-+-+(1)</t>
  </si>
  <si>
    <t>1.9 - FUNCTION TOKENS</t>
  </si>
  <si>
    <t>1.6 - CELL REFERENCE TOKENS</t>
  </si>
  <si>
    <t>tRef</t>
  </si>
  <si>
    <t>=Q7</t>
  </si>
  <si>
    <t>=$Q8</t>
  </si>
  <si>
    <t>=Q$9</t>
  </si>
  <si>
    <t>=$Q$10</t>
  </si>
  <si>
    <t>tArea</t>
  </si>
  <si>
    <t>=Q11:Q12</t>
  </si>
  <si>
    <t>=Q12:$Q13</t>
  </si>
  <si>
    <t>=Q13:Q$14</t>
  </si>
  <si>
    <t>=Q14:$Q$15</t>
  </si>
  <si>
    <t>=$Q15:Q16</t>
  </si>
  <si>
    <t>=Q$16:Q17</t>
  </si>
  <si>
    <t>=$Q$17:Q18</t>
  </si>
  <si>
    <t>=$Q$18:$Q$19</t>
  </si>
  <si>
    <t>tRef3d</t>
  </si>
  <si>
    <t>tArea3d</t>
  </si>
  <si>
    <t>=Cell!$Q$20:$Q$21</t>
  </si>
  <si>
    <t>=Param!$G$23:$G$24</t>
  </si>
  <si>
    <t>=Param!$G$22</t>
  </si>
  <si>
    <t>=Param!G21</t>
  </si>
  <si>
    <t>1.7 - CELL REFERENCE OPERATORS</t>
  </si>
  <si>
    <t>tList</t>
  </si>
  <si>
    <t>=SUM((Q27:Q29,Q28:Q30))</t>
  </si>
  <si>
    <t>tIsect</t>
  </si>
  <si>
    <t>=SUM(Q27:Q29 Q28:Q30)</t>
  </si>
  <si>
    <t>tRange</t>
  </si>
  <si>
    <t>=SUM(Q27:Q29:Q28:Q30)</t>
  </si>
  <si>
    <t>1.8 - CELL REFERENCE OPERATOR PRECEDENCE</t>
  </si>
  <si>
    <t>=SUM((Q34:Q36:Q35:Q37 Q36:Q38,Q37:Q39))</t>
  </si>
  <si>
    <t>=SUM(((Q34:Q36:Q35:Q37) Q36:Q38,Q37:Q39))</t>
  </si>
  <si>
    <t>=SUM((Q34:Q36:(Q35:Q37 Q36:Q38),Q37:Q39))</t>
  </si>
  <si>
    <t>=SUM((Q34:Q36:Q35:Q37 (Q36:Q38,Q37:Q39)))</t>
  </si>
  <si>
    <t>=SUM(((Q34:Q36:Q35:Q37 Q36:Q38),Q37:Q39))</t>
  </si>
  <si>
    <t>=SUM((Q34:Q36:(Q35:Q37 Q36:Q38,Q37:Q39)))</t>
  </si>
  <si>
    <t>=SUM((Q40:Q42,Q41:Q43 Q42:Q44:Q43:Q45))</t>
  </si>
  <si>
    <t>=SUM(((Q40:Q42,Q41:Q43) Q42:Q44:Q43:Q45))</t>
  </si>
  <si>
    <t>=SUM((Q40:Q42,(Q41:Q43 Q42):Q43:Q44:Q45))</t>
  </si>
  <si>
    <t>=SUM((Q40:Q42,Q41:Q43 (Q42:Q44:Q43:Q45)))</t>
  </si>
  <si>
    <t>=SUM(((Q40:Q42,Q41:Q43 Q42:Q44):Q43:Q45))</t>
  </si>
  <si>
    <t>=SUM((Q40:Q42,(Q41:Q43 Q42:Q44:Q43:Q45)))</t>
  </si>
  <si>
    <t>=-Q46 Q46</t>
  </si>
  <si>
    <t>=-(Q47):Q47</t>
  </si>
  <si>
    <t>=-Q48:(Q48)</t>
  </si>
  <si>
    <t>tFunc</t>
  </si>
  <si>
    <t>=ABS(1)</t>
  </si>
  <si>
    <t>tFuncVar - 1 param</t>
  </si>
  <si>
    <t>=MIN(1)</t>
  </si>
  <si>
    <t>tFuncVar - 30 params</t>
  </si>
  <si>
    <t>=MIN(1,2,3,4,5,6,7,8,9,10,11,12,13,14,15,16,17,18,19,20,21,22,23,24,25,26,27,28,29,30)</t>
  </si>
  <si>
    <t>tFuncVar/tMissing</t>
  </si>
  <si>
    <t>=SUM(1,,2)</t>
  </si>
  <si>
    <t>tNameX</t>
  </si>
  <si>
    <t>=EDATE(DATE(2000,1,1),1)</t>
  </si>
  <si>
    <t>tAttrSum</t>
  </si>
  <si>
    <t>=SUM(1)</t>
  </si>
  <si>
    <t>tFuncVar(SUM)</t>
  </si>
  <si>
    <t>=SUM(1,2)</t>
  </si>
  <si>
    <t>tFuncVar(IF)</t>
  </si>
  <si>
    <t>= IF( FALSE, 1 ) +1</t>
  </si>
  <si>
    <t>= IF( TRUE, 1 ) +1</t>
  </si>
  <si>
    <t>= IF( TRUE, 1, 2 ) +1</t>
  </si>
  <si>
    <t>tFuncVar(CHOOSE)</t>
  </si>
  <si>
    <t>= CHOOSE( 1, 2, 3 ) +1</t>
  </si>
  <si>
    <t>= CHOOSE( 2, 2, 3 ) +1</t>
  </si>
  <si>
    <t>= CHOOSE( 3, 2, 3 ) +1</t>
  </si>
  <si>
    <t>$A$1</t>
  </si>
  <si>
    <t>1.10 - PARENTHESES</t>
  </si>
  <si>
    <t>Constant value</t>
  </si>
  <si>
    <t>Constant array</t>
  </si>
  <si>
    <t>=({2})</t>
  </si>
  <si>
    <t>Unary operator (pre)</t>
  </si>
  <si>
    <t>=(+(3))</t>
  </si>
  <si>
    <t>Unary operator (post)</t>
  </si>
  <si>
    <t>Binary operator</t>
  </si>
  <si>
    <t>Function, 0 params</t>
  </si>
  <si>
    <t>=(PI())</t>
  </si>
  <si>
    <t>Function, 1 param</t>
  </si>
  <si>
    <t>=(ABS((7)))</t>
  </si>
  <si>
    <t>Function, 2 params</t>
  </si>
  <si>
    <t>Cell reference</t>
  </si>
  <si>
    <t>Intersection</t>
  </si>
  <si>
    <t>Repeated</t>
  </si>
  <si>
    <t>=FLOOR(-15,-10)</t>
  </si>
  <si>
    <t>=PERCENTRANK($D$12:$D$15,2)</t>
  </si>
  <si>
    <t>=PERCENTRANK($D$12:$D$15,2,1)</t>
  </si>
  <si>
    <t>=PERCENTRANK($D$12:$D$15,2,3)</t>
  </si>
  <si>
    <t>=PERCENTRANK($D$12:$D$15,2,5)</t>
  </si>
  <si>
    <t>=INDIRECT("$E$16")</t>
  </si>
  <si>
    <t>=INDIRECT("$E$17",TRUE)</t>
  </si>
  <si>
    <t>=ADDRESS(18,5)</t>
  </si>
  <si>
    <t>$E$18</t>
  </si>
  <si>
    <t>=ADDRESS(19,5,4)</t>
  </si>
  <si>
    <t>E19</t>
  </si>
  <si>
    <t>=ADDRESS(20,5,4,TRUE)</t>
  </si>
  <si>
    <t>E20</t>
  </si>
  <si>
    <t>=ADDRESS(21,5,4,TRUE,"Param")</t>
  </si>
  <si>
    <t>Param!E21</t>
  </si>
  <si>
    <t>=IF(FALSE,)</t>
  </si>
  <si>
    <t>=IF(TRUE,)</t>
  </si>
  <si>
    <t>=IF(FALSE,,)</t>
  </si>
  <si>
    <t>=IF(TRUE,,)</t>
  </si>
  <si>
    <t>=SUM(1,)</t>
  </si>
  <si>
    <t>=SUM( 1, 1, , )</t>
  </si>
  <si>
    <t>Test cells for 3D references in other sheets</t>
  </si>
  <si>
    <t>Index</t>
  </si>
  <si>
    <t>Function</t>
  </si>
  <si>
    <t>COUNT</t>
  </si>
  <si>
    <t>IF</t>
  </si>
  <si>
    <t>ISNA</t>
  </si>
  <si>
    <t>ISERROR</t>
  </si>
  <si>
    <t>SUM</t>
  </si>
  <si>
    <t>AVERAGE</t>
  </si>
  <si>
    <t>MIN</t>
  </si>
  <si>
    <t>MAX</t>
  </si>
  <si>
    <t>ROW</t>
  </si>
  <si>
    <t>COLUMN</t>
  </si>
  <si>
    <t>NA</t>
  </si>
  <si>
    <t>NPV</t>
  </si>
  <si>
    <t>STDEV</t>
  </si>
  <si>
    <t>DOLLAR</t>
  </si>
  <si>
    <t>1 €</t>
  </si>
  <si>
    <t>FIXED</t>
  </si>
  <si>
    <t>1</t>
  </si>
  <si>
    <t>SIN</t>
  </si>
  <si>
    <t>COS</t>
  </si>
  <si>
    <t>TAN</t>
  </si>
  <si>
    <t>ATAN</t>
  </si>
  <si>
    <t>PI</t>
  </si>
  <si>
    <t>SQRT</t>
  </si>
  <si>
    <t>EXP</t>
  </si>
  <si>
    <t>LN</t>
  </si>
  <si>
    <t>LOG10</t>
  </si>
  <si>
    <t>ABS</t>
  </si>
  <si>
    <t>INT</t>
  </si>
  <si>
    <t>SIGN</t>
  </si>
  <si>
    <t>ROUND</t>
  </si>
  <si>
    <t>LOOKUP</t>
  </si>
  <si>
    <t>INDEX</t>
  </si>
  <si>
    <t>REPT</t>
  </si>
  <si>
    <t>A</t>
  </si>
  <si>
    <t>MID</t>
  </si>
  <si>
    <t>LEN</t>
  </si>
  <si>
    <t>VALUE</t>
  </si>
  <si>
    <t>TRUE</t>
  </si>
  <si>
    <t>FALSE</t>
  </si>
  <si>
    <t>AND</t>
  </si>
  <si>
    <t>OR</t>
  </si>
  <si>
    <t>NOT</t>
  </si>
  <si>
    <t>MOD</t>
  </si>
  <si>
    <t>DCOUNT</t>
  </si>
  <si>
    <t>DSUM</t>
  </si>
  <si>
    <t>DAVERAGE</t>
  </si>
  <si>
    <t>DMIN</t>
  </si>
  <si>
    <t>DMAX</t>
  </si>
  <si>
    <t>DSTDEV</t>
  </si>
  <si>
    <t>VAR</t>
  </si>
  <si>
    <t>DVAR</t>
  </si>
  <si>
    <t>TEXT</t>
  </si>
  <si>
    <t>LINEST</t>
  </si>
  <si>
    <t>TREND</t>
  </si>
  <si>
    <t>LOGEST</t>
  </si>
  <si>
    <t>GROWTH</t>
  </si>
  <si>
    <t>PV</t>
  </si>
  <si>
    <t>FV</t>
  </si>
  <si>
    <t>NPER</t>
  </si>
  <si>
    <t>PMT</t>
  </si>
  <si>
    <t>RATE</t>
  </si>
  <si>
    <t>MIRR</t>
  </si>
  <si>
    <t>IRR</t>
  </si>
  <si>
    <t>RAND</t>
  </si>
  <si>
    <t>MATCH</t>
  </si>
  <si>
    <t>DATE</t>
  </si>
  <si>
    <t>TIME</t>
  </si>
  <si>
    <t>DAY</t>
  </si>
  <si>
    <t>MONTH</t>
  </si>
  <si>
    <t>YEAR</t>
  </si>
  <si>
    <t>WEEKDAY</t>
  </si>
  <si>
    <t>HOUR</t>
  </si>
  <si>
    <t>MINUTE</t>
  </si>
  <si>
    <t>SECOND</t>
  </si>
  <si>
    <t>NOW</t>
  </si>
  <si>
    <t>AREAS</t>
  </si>
  <si>
    <t>ROWS</t>
  </si>
  <si>
    <t>COLUMNS</t>
  </si>
  <si>
    <t>OFFSET</t>
  </si>
  <si>
    <t>SEARCH</t>
  </si>
  <si>
    <t>TRANSPOSE</t>
  </si>
  <si>
    <t>TYPE</t>
  </si>
  <si>
    <t>ATAN2</t>
  </si>
  <si>
    <t>ASIN</t>
  </si>
  <si>
    <t>ACOS</t>
  </si>
  <si>
    <t>CHOOSE</t>
  </si>
  <si>
    <t>HLOOKUP</t>
  </si>
  <si>
    <t>VLOOKUP</t>
  </si>
  <si>
    <t>ISREF</t>
  </si>
  <si>
    <t>LOG</t>
  </si>
  <si>
    <t>CHAR</t>
  </si>
  <si>
    <t>LOWER</t>
  </si>
  <si>
    <t>a</t>
  </si>
  <si>
    <t>UPPER</t>
  </si>
  <si>
    <t>PROPER</t>
  </si>
  <si>
    <t>Aa</t>
  </si>
  <si>
    <t>LEFT</t>
  </si>
  <si>
    <t>RIGHT</t>
  </si>
  <si>
    <t>EXACT</t>
  </si>
  <si>
    <t>TRIM</t>
  </si>
  <si>
    <t>REPLACE</t>
  </si>
  <si>
    <t>SUBSTITUTE</t>
  </si>
  <si>
    <t>CODE</t>
  </si>
  <si>
    <t>FIND</t>
  </si>
  <si>
    <t>CELL</t>
  </si>
  <si>
    <t>ISERR</t>
  </si>
  <si>
    <t>ISTEXT</t>
  </si>
  <si>
    <t>ISNUMBER</t>
  </si>
  <si>
    <t>ISBLANK</t>
  </si>
  <si>
    <t>T</t>
  </si>
  <si>
    <t>N</t>
  </si>
  <si>
    <t>DATEVALUE</t>
  </si>
  <si>
    <t>TIMEVALUE</t>
  </si>
  <si>
    <t>SLN</t>
  </si>
  <si>
    <t>SYD</t>
  </si>
  <si>
    <t>DDB</t>
  </si>
  <si>
    <t>INDIRECT</t>
  </si>
  <si>
    <t>CLEAN</t>
  </si>
  <si>
    <t>MDETERM</t>
  </si>
  <si>
    <t>MINVERSE</t>
  </si>
  <si>
    <t>MMULT</t>
  </si>
  <si>
    <t>IPMT</t>
  </si>
  <si>
    <t>PPMT</t>
  </si>
  <si>
    <t>COUNTA</t>
  </si>
  <si>
    <t>PRODUCT</t>
  </si>
  <si>
    <t>FACT</t>
  </si>
  <si>
    <t>DPRODUCT</t>
  </si>
  <si>
    <t>ISNONTEXT</t>
  </si>
  <si>
    <t>STDEVP</t>
  </si>
  <si>
    <t>VARP</t>
  </si>
  <si>
    <t>DSTDEVP</t>
  </si>
  <si>
    <t>DVARP</t>
  </si>
  <si>
    <t>TRUNC</t>
  </si>
  <si>
    <t>ISLOGICAL</t>
  </si>
  <si>
    <t>DCOUNTA</t>
  </si>
  <si>
    <t>RANK</t>
  </si>
  <si>
    <t>DB</t>
  </si>
  <si>
    <t>FREQUENCY</t>
  </si>
  <si>
    <t>ERROR.TYPE</t>
  </si>
  <si>
    <t>AVEDEV</t>
  </si>
  <si>
    <t>BETADIST</t>
  </si>
  <si>
    <t>GAMMALN</t>
  </si>
  <si>
    <t>BETAINV</t>
  </si>
  <si>
    <t>BINOMDIST</t>
  </si>
  <si>
    <t>CHIDIST</t>
  </si>
  <si>
    <t>CHIINV</t>
  </si>
  <si>
    <t>COMBIN</t>
  </si>
  <si>
    <t>CONFIDENCE</t>
  </si>
  <si>
    <t>CRITBINOM</t>
  </si>
  <si>
    <t>EVEN</t>
  </si>
  <si>
    <t>EXPONDIST</t>
  </si>
  <si>
    <t>FDIST</t>
  </si>
  <si>
    <t>FINV</t>
  </si>
  <si>
    <t>FISHER</t>
  </si>
  <si>
    <t>FISHERINV</t>
  </si>
  <si>
    <t>FLOOR</t>
  </si>
  <si>
    <t>GAMMADIST</t>
  </si>
  <si>
    <t>GAMMAINV</t>
  </si>
  <si>
    <t>CEILING</t>
  </si>
  <si>
    <t>HYPGEOMDIST</t>
  </si>
  <si>
    <t>LOGNORMDIST</t>
  </si>
  <si>
    <t>LOGINV</t>
  </si>
  <si>
    <t>NEGBINOMDIST</t>
  </si>
  <si>
    <t>NORMDIST</t>
  </si>
  <si>
    <t>NORMSDIST</t>
  </si>
  <si>
    <t>NORMINV</t>
  </si>
  <si>
    <t>NORMSINV</t>
  </si>
  <si>
    <t>STANDARDIZE</t>
  </si>
  <si>
    <t>ODD</t>
  </si>
  <si>
    <t>PERMUT</t>
  </si>
  <si>
    <t>POISSONDIST</t>
  </si>
  <si>
    <t>TDIST</t>
  </si>
  <si>
    <t>WEIBULL</t>
  </si>
  <si>
    <t>SUMXMY2</t>
  </si>
  <si>
    <t>SUMX2MY2</t>
  </si>
  <si>
    <t>SUMX2DY2</t>
  </si>
  <si>
    <t>CHITEST</t>
  </si>
  <si>
    <t>CORREL</t>
  </si>
  <si>
    <t>COVAR</t>
  </si>
  <si>
    <t>FORECAST</t>
  </si>
  <si>
    <t>FTEST</t>
  </si>
  <si>
    <t>INTERCEPT</t>
  </si>
  <si>
    <t>PEARSON</t>
  </si>
  <si>
    <t>RSQ</t>
  </si>
  <si>
    <t>STEYX</t>
  </si>
  <si>
    <t>SLOPE</t>
  </si>
  <si>
    <t>TTEST</t>
  </si>
  <si>
    <t>PROB</t>
  </si>
  <si>
    <t>DEVSQ</t>
  </si>
  <si>
    <t>GEOMEAN</t>
  </si>
  <si>
    <t>HARMEAN</t>
  </si>
  <si>
    <t>SUMSQ</t>
  </si>
  <si>
    <t>KURT</t>
  </si>
  <si>
    <t>SKEW</t>
  </si>
  <si>
    <t>ZTEST</t>
  </si>
  <si>
    <t>LARGE</t>
  </si>
  <si>
    <t>SMALL</t>
  </si>
  <si>
    <t>QUARTILE</t>
  </si>
  <si>
    <t>PERCENTILE</t>
  </si>
  <si>
    <t>PERCENTRANK</t>
  </si>
  <si>
    <t>MODE</t>
  </si>
  <si>
    <t>TRIMMEAN</t>
  </si>
  <si>
    <t>TINV</t>
  </si>
  <si>
    <t>YEN/USDOLLAR</t>
  </si>
  <si>
    <t>FINDB</t>
  </si>
  <si>
    <t>SEARCHB</t>
  </si>
  <si>
    <t>REPLACEB</t>
  </si>
  <si>
    <t>LEFTB</t>
  </si>
  <si>
    <t>RIGHTB</t>
  </si>
  <si>
    <t>MIDB</t>
  </si>
  <si>
    <t>LENB</t>
  </si>
  <si>
    <t>ROUNDUP</t>
  </si>
  <si>
    <t>ROUNDDOWN</t>
  </si>
  <si>
    <t>ASC</t>
  </si>
  <si>
    <t>JIS/DBCS</t>
  </si>
  <si>
    <t>ADDRESS</t>
  </si>
  <si>
    <t>DAYS360</t>
  </si>
  <si>
    <t>TODAY</t>
  </si>
  <si>
    <t>VBD</t>
  </si>
  <si>
    <t>MEDIAN</t>
  </si>
  <si>
    <t>SUMPRODUCT</t>
  </si>
  <si>
    <t>SINH</t>
  </si>
  <si>
    <t>COSH</t>
  </si>
  <si>
    <t>TANH</t>
  </si>
  <si>
    <t>ASINH</t>
  </si>
  <si>
    <t>ACOSH</t>
  </si>
  <si>
    <t>ATANH</t>
  </si>
  <si>
    <t>DGET</t>
  </si>
  <si>
    <t>INFO</t>
  </si>
  <si>
    <t>CONCATENATE</t>
  </si>
  <si>
    <t>POWER</t>
  </si>
  <si>
    <t>RADIANS</t>
  </si>
  <si>
    <t>DEGREES</t>
  </si>
  <si>
    <t>SUBTOTAL</t>
  </si>
  <si>
    <t>SUMIF</t>
  </si>
  <si>
    <t>COUNTIF</t>
  </si>
  <si>
    <t>COUNTBLANK</t>
  </si>
  <si>
    <t>ISPMT</t>
  </si>
  <si>
    <t>DATEDIF</t>
  </si>
  <si>
    <t>DATESTRING</t>
  </si>
  <si>
    <t>NUMBERSTRING</t>
  </si>
  <si>
    <t>ROMAN</t>
  </si>
  <si>
    <t>MM</t>
  </si>
  <si>
    <t>GETPIVOTDATA</t>
  </si>
  <si>
    <t>HYPERLINK</t>
  </si>
  <si>
    <t>PHONETIC</t>
  </si>
  <si>
    <t>AVERAGEA</t>
  </si>
  <si>
    <t>MAXA</t>
  </si>
  <si>
    <t>MINA</t>
  </si>
  <si>
    <t>STDEVPA</t>
  </si>
  <si>
    <t>VARPA</t>
  </si>
  <si>
    <t>STDEVA</t>
  </si>
  <si>
    <t>VARA</t>
  </si>
  <si>
    <t>BAHTTEXT</t>
  </si>
  <si>
    <t>ศูนย์บาทถ้วน</t>
  </si>
  <si>
    <t>THAIDAYOFWEEK</t>
  </si>
  <si>
    <t>THAIDIGIT</t>
  </si>
  <si>
    <t>THAIMONTHOFYEAR</t>
  </si>
  <si>
    <t>THAINUMSOUND</t>
  </si>
  <si>
    <t>THAINUMSTRING</t>
  </si>
  <si>
    <t>THAISTRINGLENGTH</t>
  </si>
  <si>
    <t>ISTHAIDIGIT</t>
  </si>
  <si>
    <t>ROUNDBAHTDOWN</t>
  </si>
  <si>
    <t>ROUNDBAHTUP</t>
  </si>
  <si>
    <t>THAIYEAR</t>
  </si>
  <si>
    <t>RTD</t>
  </si>
  <si>
    <t>ACCRINT</t>
  </si>
  <si>
    <t>ACCRINTM</t>
  </si>
  <si>
    <t>AMORDEGRC</t>
  </si>
  <si>
    <t>AMORLINC</t>
  </si>
  <si>
    <t>BESSELI</t>
  </si>
  <si>
    <t>BESSELJ</t>
  </si>
  <si>
    <t>BESSELK</t>
  </si>
  <si>
    <t>BESSELY</t>
  </si>
  <si>
    <t>BIN2DEC</t>
  </si>
  <si>
    <t>BIN2HEX</t>
  </si>
  <si>
    <t>BIN2OCT</t>
  </si>
  <si>
    <t>COMPLEX</t>
  </si>
  <si>
    <t>CONVERT</t>
  </si>
  <si>
    <t>COUPDAYBS</t>
  </si>
  <si>
    <t>COUPDAYS</t>
  </si>
  <si>
    <t>COUPDAYSNC</t>
  </si>
  <si>
    <t>COUPNCD</t>
  </si>
  <si>
    <t>COUPNUM</t>
  </si>
  <si>
    <t>COUPPCD</t>
  </si>
  <si>
    <t>CUMIPMT</t>
  </si>
  <si>
    <t>CUMPRINC</t>
  </si>
  <si>
    <t>DEC2BIN</t>
  </si>
  <si>
    <t>DEC2HEX</t>
  </si>
  <si>
    <t>DEC2OCT</t>
  </si>
  <si>
    <t>DELTA</t>
  </si>
  <si>
    <t>DISC</t>
  </si>
  <si>
    <t>DOLLARDE</t>
  </si>
  <si>
    <t>DOLLARFR</t>
  </si>
  <si>
    <t>DURATION</t>
  </si>
  <si>
    <t>EDATE</t>
  </si>
  <si>
    <t>EFFECT</t>
  </si>
  <si>
    <t>EOMONTH</t>
  </si>
  <si>
    <t>ERF</t>
  </si>
  <si>
    <t>ERFC</t>
  </si>
  <si>
    <t>FACTDOUBLE</t>
  </si>
  <si>
    <t>FVSCHEDULE</t>
  </si>
  <si>
    <t>GCD</t>
  </si>
  <si>
    <t>GESTEP</t>
  </si>
  <si>
    <t>HEX2BIN</t>
  </si>
  <si>
    <t>HEX2DEC</t>
  </si>
  <si>
    <t>HEX2OCT</t>
  </si>
  <si>
    <t>IMABS</t>
  </si>
  <si>
    <t>IMAGINARY</t>
  </si>
  <si>
    <t>IMARGUMENT</t>
  </si>
  <si>
    <t>IMCONJUGATE</t>
  </si>
  <si>
    <t>IMCOS</t>
  </si>
  <si>
    <t>IMDIV</t>
  </si>
  <si>
    <t>IMEXP</t>
  </si>
  <si>
    <t>IMLN</t>
  </si>
  <si>
    <t>0</t>
  </si>
  <si>
    <t>IMLOG10</t>
  </si>
  <si>
    <t>IMLOG2</t>
  </si>
  <si>
    <t>IMPOWER</t>
  </si>
  <si>
    <t>IMPRODUCT</t>
  </si>
  <si>
    <t>IMREAL</t>
  </si>
  <si>
    <t>IMSIN</t>
  </si>
  <si>
    <t>IMSQRT</t>
  </si>
  <si>
    <t>IMSUB</t>
  </si>
  <si>
    <t>IMSUM</t>
  </si>
  <si>
    <t>INTRATE</t>
  </si>
  <si>
    <t>ISEVEN</t>
  </si>
  <si>
    <t>ISODD</t>
  </si>
  <si>
    <t>LCM</t>
  </si>
  <si>
    <t>MDURATION</t>
  </si>
  <si>
    <t>MROUND</t>
  </si>
  <si>
    <t>MULTINOMIAL</t>
  </si>
  <si>
    <t>NETWORKDAYS</t>
  </si>
  <si>
    <t>NOMINAL</t>
  </si>
  <si>
    <t>OCT2BIN</t>
  </si>
  <si>
    <t>OCT2DEC</t>
  </si>
  <si>
    <t>OCT2HEX</t>
  </si>
  <si>
    <t>ODDFPRICE</t>
  </si>
  <si>
    <t>ODDFYIELD</t>
  </si>
  <si>
    <t>ODDLPRICE</t>
  </si>
  <si>
    <t>ODDLYIELD</t>
  </si>
  <si>
    <t>PRICE</t>
  </si>
  <si>
    <t>PRICEDISC</t>
  </si>
  <si>
    <t>PRICEMAT</t>
  </si>
  <si>
    <t>QUOTIENT</t>
  </si>
  <si>
    <t>RANDBETWEEN</t>
  </si>
  <si>
    <t>RECEIVED</t>
  </si>
  <si>
    <t>SERIESSUM</t>
  </si>
  <si>
    <t>SQRTPI</t>
  </si>
  <si>
    <t>TBILLEQ</t>
  </si>
  <si>
    <t>TBILLPRICE</t>
  </si>
  <si>
    <t>TBILLYIELD</t>
  </si>
  <si>
    <t>WEEKNUM</t>
  </si>
  <si>
    <t>WORKDAY</t>
  </si>
  <si>
    <t>XIRR</t>
  </si>
  <si>
    <t>XNPV</t>
  </si>
  <si>
    <t>YEARFRAC</t>
  </si>
  <si>
    <t>YIELD</t>
  </si>
  <si>
    <t>YIELDDISC</t>
  </si>
  <si>
    <t>YIELDMAT</t>
  </si>
  <si>
    <t>AVERAGEIF</t>
  </si>
  <si>
    <t>AVERAGEIFS</t>
  </si>
  <si>
    <t>COUNTIFS</t>
  </si>
  <si>
    <t>IFERROR</t>
  </si>
  <si>
    <t>SUMIFS</t>
  </si>
  <si>
    <t>=N7/2*(N7+1)</t>
  </si>
  <si>
    <t>area = B7:E10, base = B7</t>
  </si>
  <si>
    <t>Test cell</t>
  </si>
  <si>
    <t>area = B14:E17, base = E14</t>
  </si>
  <si>
    <t>red cells: not part of shared formula</t>
  </si>
  <si>
    <t>=N14/2*(N14+1)</t>
  </si>
  <si>
    <t>text1</t>
  </si>
  <si>
    <t>text2</t>
  </si>
  <si>
    <t>text3</t>
  </si>
  <si>
    <t>=N21/2*(N21+1)</t>
  </si>
  <si>
    <t>area = B21:E24, base = E21</t>
  </si>
  <si>
    <t>area = B21:D22, base = C21</t>
  </si>
  <si>
    <t>=(N21+MIN($N$21:$Q$24))^2</t>
  </si>
  <si>
    <t>{=1}</t>
  </si>
  <si>
    <t>{=H9:I10}</t>
  </si>
  <si>
    <t>{=$H$9:$I$10}</t>
  </si>
  <si>
    <t>{={1,2;3,4}}</t>
  </si>
  <si>
    <t>{=MINVERSE(H18:I19)+H20:I21}</t>
  </si>
  <si>
    <t>{=MINVERSE($H$18:$I$19)+$H$20:$I$21}</t>
  </si>
  <si>
    <t>{=MINVERSE({1,0;0,1})+{0,2;3,3}}</t>
  </si>
  <si>
    <t>=CEILING(-15,-10)</t>
  </si>
  <si>
    <t>#A1</t>
  </si>
  <si>
    <t>Test values</t>
  </si>
  <si>
    <t>tAttrSum/tRef3d</t>
  </si>
  <si>
    <t>=SUM(Param:Functions!$G$22)</t>
  </si>
  <si>
    <t>2 - TABLE REFERENCES</t>
  </si>
  <si>
    <t>Head1</t>
  </si>
  <si>
    <t>=table[Head1]</t>
  </si>
  <si>
    <t>Calced</t>
  </si>
  <si>
    <t>Head1 - SUM</t>
  </si>
  <si>
    <t>Head2 - AVERAGE</t>
  </si>
  <si>
    <t>Head3 - COUNT</t>
  </si>
  <si>
    <t>Calced - MAX</t>
  </si>
  <si>
    <t>3 - SPECIAL PARAMETER HANDLING</t>
  </si>
  <si>
    <t>3.1 - ADD MISSING/DIFFERENT DEFAULT PARAMETERS</t>
  </si>
  <si>
    <t>3.2 - REMOVE UNSUPPORTED PARAMETERS</t>
  </si>
  <si>
    <t>3.3 - REPLACE DEFAULT PARAMETERS</t>
  </si>
  <si>
    <t>3.4 - REMOVE TRAILING EMPTY PARAMETERS</t>
  </si>
  <si>
    <t>4 - ALL SHEET FUNCTIONS</t>
  </si>
  <si>
    <t>4.1 - FUNCTIONS SUPPORTED IN BIFF2</t>
  </si>
  <si>
    <t>4.2 - FUNCTIONS SUPPORTED IN BIFF3</t>
  </si>
  <si>
    <t>4.3 - FUNCTIONS SUPPORTED IN BIFF4</t>
  </si>
  <si>
    <t>4.4 - FUNCTIONS SUPPORTED IN BIFF5</t>
  </si>
  <si>
    <t>4.5 - FUNCTIONS SUPPORTED IN BIFF8</t>
  </si>
  <si>
    <t>4.6 - FUNCTIONS SUPPORTED IN OOX</t>
  </si>
  <si>
    <t>4.7 - ANALYSIS ADD-IN FUNCTIONS</t>
  </si>
  <si>
    <t>5 - ARRAY FORMULAS</t>
  </si>
  <si>
    <t>5.1 - SIMPLE ARRAYS</t>
  </si>
  <si>
    <t>5.2 - ARRAYS AND FUNCTIONS</t>
  </si>
  <si>
    <t>6 - SHARED FORMULAS</t>
  </si>
  <si>
    <t>6.1 - COMPLETE AREA</t>
  </si>
  <si>
    <t>6.2 - INCOMPLETE AREA</t>
  </si>
  <si>
    <t>6.3 - TWO MERGED AREAS</t>
  </si>
  <si>
    <t>=SUM(table[#This Row])</t>
  </si>
  <si>
    <t>#Head3</t>
  </si>
  <si>
    <t>=SUM(table[['#Head3]:[Calced]])</t>
  </si>
  <si>
    <t>=SUM(table[ ['#Head3]:[Calced] ])</t>
  </si>
  <si>
    <t>Head'2</t>
  </si>
  <si>
    <t>=SUM(table[Head''2])</t>
  </si>
  <si>
    <t>=SUM(table[[#Data];[#Totals];['#Head3]:[Calced]])</t>
  </si>
  <si>
    <t>= IF( FALSE, 1, 2 ) +1</t>
  </si>
  <si>
    <t>1.11 - SPACES</t>
  </si>
  <si>
    <t>Ａ</t>
  </si>
  <si>
    <t>=  {2}</t>
  </si>
  <si>
    <t>=  1</t>
  </si>
  <si>
    <t>=  +(3)</t>
  </si>
  <si>
    <t>=400  %</t>
  </si>
  <si>
    <t>=2  +3</t>
  </si>
  <si>
    <t>=  PI(  )</t>
  </si>
  <si>
    <t>=  ABS(  7  )</t>
  </si>
  <si>
    <t>=  SUM(  3,  5  )</t>
  </si>
  <si>
    <t>=  $V$40</t>
  </si>
  <si>
    <t>=$V$41   $V$41</t>
  </si>
  <si>
    <t>=((2)+(3))</t>
  </si>
  <si>
    <t>=((400)%)</t>
  </si>
  <si>
    <t>=(SUM((3),(5)))</t>
  </si>
  <si>
    <t>=($V$26)</t>
  </si>
  <si>
    <t>=(($V$27) ($V$27))</t>
  </si>
  <si>
    <t>Parentheses</t>
  </si>
  <si>
    <t>=  (  11  )</t>
  </si>
  <si>
    <t>=((((11))))</t>
  </si>
  <si>
    <t>7 - TABLE OPERATIONS</t>
  </si>
  <si>
    <t>7.1 - INPUT VALUES IN COLUMN</t>
  </si>
  <si>
    <t>Formulas</t>
  </si>
  <si>
    <t>Input values</t>
  </si>
  <si>
    <t>7.2 - INPUT VALUES IN ROW</t>
  </si>
  <si>
    <t>Ref cell</t>
  </si>
  <si>
    <t>7.3 - INPUT VALUES IN ROW AND COLUMN</t>
  </si>
  <si>
    <t>Ref cells</t>
  </si>
  <si>
    <t>7.4 - INPUT VALUES IN COLUMN, REFERENCE CELL DELETED</t>
  </si>
  <si>
    <t>7.5 - INPUT VALUES IN ROW, REFERENCE CELL DELETED</t>
  </si>
  <si>
    <t>7.6 - INPUT VALUES IN ROW AND COLUMN, REFERENCE CELLS DELETED</t>
  </si>
  <si>
    <t>5.3 - CONSTANT ARRAYS AND CONSTANT REFERENCE SUBEXPRESSIONS (tArray, tMemArea)</t>
  </si>
  <si>
    <t>{={0,1;2,1}+MINVERSE(H27:I28 H27:I28)+{0,1;1,2}}</t>
  </si>
  <si>
    <t>2.1 - COLUMN REFERENCES</t>
  </si>
  <si>
    <t>2.3 - SUBTOTAL ROW</t>
  </si>
  <si>
    <t>=table[[#This Row];[Head1]]</t>
  </si>
  <si>
    <t>=SUM(table[[#This Row];['#Head3]:[Calced]])</t>
  </si>
  <si>
    <t>2.2 - THIS-ROW REFERENCES</t>
  </si>
  <si>
    <t>=SUM(table[[#This Row];[Head''2]])</t>
  </si>
  <si>
    <t>=SUM(table[[#Data];['#Head3]:[Calced]])</t>
  </si>
  <si>
    <t>=SUM(table[ [#Data];['#Head3]:[Calced] ])</t>
  </si>
  <si>
    <t>=SUM(table[[#Data]; ['#Head3]:[Calced]])</t>
  </si>
  <si>
    <t>=SUM(table[ [#Data]; ['#Head3]:[Calced] ])</t>
  </si>
  <si>
    <t>2.4 - SPACING</t>
  </si>
  <si>
    <t>=SUM(table[[#Data];[#Totals];[Head''2]])</t>
  </si>
  <si>
    <t>=SUM(table[[#Data]; [#Totals]; [Head''2]])</t>
  </si>
  <si>
    <t>=SUM(table[ [#Data]; [#Totals]; [Head''2] ])</t>
  </si>
  <si>
    <t>=SUM(table[ [#Data];[#Totals];['#Head3]:[Calced] ])</t>
  </si>
  <si>
    <t>=SUM(table[[#Data]; [#Totals]; ['#Head3]:[Calced]])</t>
  </si>
  <si>
    <t>=SUM(table[ [#Data]; [#Totals]; ['#Head3]:[Calced] ])</t>
  </si>
  <si>
    <t>Range</t>
  </si>
  <si>
    <t>table</t>
  </si>
  <si>
    <t>table[#Totals]</t>
  </si>
  <si>
    <t>table[#Data]</t>
  </si>
  <si>
    <t>table[#Headers]</t>
  </si>
  <si>
    <t>table[#All]</t>
  </si>
  <si>
    <t>table[[#Headers];[#Data]]</t>
  </si>
  <si>
    <t>table[[#Data];[#Totals]]</t>
  </si>
  <si>
    <t>table[[#Data];[Head''2]]</t>
  </si>
  <si>
    <t>table[[#Data];['#Head3]:[Calced]]</t>
  </si>
  <si>
    <t>table[[#Headers];[#Data];[Head''2]]</t>
  </si>
  <si>
    <t>table[[#Data];[#Totals];['#Head3]:[Calced]]</t>
  </si>
  <si>
    <t>2.5 - SPECIAL RANGES</t>
  </si>
  <si>
    <t>2.6 - SPECIAL COLUMN RANGES</t>
  </si>
  <si>
    <t>2.7 - SPECIAL RANGES (TABLE WITHOUT HEADERS AND TOTALS)</t>
  </si>
  <si>
    <t>table2</t>
  </si>
  <si>
    <t>table2[#Headers]</t>
  </si>
  <si>
    <t>table2[#Data]</t>
  </si>
  <si>
    <t>table2[#Totals]</t>
  </si>
  <si>
    <t>table2[#All]</t>
  </si>
  <si>
    <t>table2[[#Headers];[#Data]]</t>
  </si>
  <si>
    <t>table2[[#Data];[#Totals]]</t>
  </si>
  <si>
    <t>2.8 - SPECIAL COLUMN RANGES (TABLE WITHOUT HEADERS AND TOTALS)</t>
  </si>
  <si>
    <t>table2[[#Data];[Column1]]</t>
  </si>
  <si>
    <t>table2[[#Data];[Column2]:[Column3]]</t>
  </si>
  <si>
    <t>table2[[#Headers];[#Data];[Column1]]</t>
  </si>
  <si>
    <t>table2[[#Data];[#Totals];[Column2]:[Column3]]</t>
  </si>
  <si>
    <t>4.9 - EUROTOOL ADD-IN</t>
  </si>
  <si>
    <t>EUROCONVERT</t>
  </si>
  <si>
    <t>4.8 - MACRO SIMULATED FUNCTIONS</t>
  </si>
  <si>
    <t>=Cell!Q20</t>
  </si>
</sst>
</file>

<file path=xl/styles.xml><?xml version="1.0" encoding="utf-8"?>
<styleSheet xmlns="http://schemas.openxmlformats.org/spreadsheetml/2006/main">
  <numFmts count="2">
    <numFmt numFmtId="164" formatCode="&quot;ok&quot;;\-General;0;[Red]@"/>
    <numFmt numFmtId="165" formatCode="d/m/yy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8"/>
      <color theme="1"/>
      <name val="Cambria"/>
      <family val="1"/>
      <scheme val="major"/>
    </font>
    <font>
      <b/>
      <i/>
      <sz val="14"/>
      <color theme="1"/>
      <name val="Cambria"/>
      <family val="1"/>
      <scheme val="major"/>
    </font>
    <font>
      <i/>
      <sz val="12"/>
      <color theme="1"/>
      <name val="Cambria"/>
      <family val="1"/>
      <scheme val="major"/>
    </font>
    <font>
      <i/>
      <sz val="10"/>
      <color theme="1"/>
      <name val="Calibri"/>
      <family val="2"/>
      <scheme val="minor"/>
    </font>
    <font>
      <u/>
      <sz val="11"/>
      <color indexed="12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rgb="FF008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rgb="FFFFFFC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0FFE0"/>
        <bgColor indexed="64"/>
      </patternFill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0" fontId="3" fillId="3" borderId="0" applyNumberFormat="0" applyBorder="0" applyAlignment="0" applyProtection="0"/>
    <xf numFmtId="0" fontId="4" fillId="4" borderId="0" applyNumberFormat="0" applyBorder="0" applyAlignment="0" applyProtection="0"/>
    <xf numFmtId="0" fontId="1" fillId="5" borderId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164" fontId="8" fillId="0" borderId="0">
      <alignment horizontal="center"/>
    </xf>
  </cellStyleXfs>
  <cellXfs count="75">
    <xf numFmtId="0" fontId="0" fillId="0" borderId="0" xfId="0"/>
    <xf numFmtId="0" fontId="2" fillId="2" borderId="0" xfId="0" applyFont="1" applyFill="1"/>
    <xf numFmtId="0" fontId="3" fillId="3" borderId="0" xfId="1"/>
    <xf numFmtId="0" fontId="4" fillId="4" borderId="0" xfId="2"/>
    <xf numFmtId="0" fontId="0" fillId="5" borderId="0" xfId="3" applyFont="1"/>
    <xf numFmtId="0" fontId="0" fillId="0" borderId="0" xfId="0" quotePrefix="1"/>
    <xf numFmtId="10" fontId="0" fillId="0" borderId="0" xfId="0" quotePrefix="1" applyNumberFormat="1"/>
    <xf numFmtId="10" fontId="0" fillId="0" borderId="0" xfId="0" applyNumberFormat="1"/>
    <xf numFmtId="16" fontId="4" fillId="4" borderId="0" xfId="2" applyNumberFormat="1"/>
    <xf numFmtId="0" fontId="0" fillId="0" borderId="0" xfId="0" quotePrefix="1" applyNumberFormat="1" applyAlignment="1"/>
    <xf numFmtId="0" fontId="1" fillId="5" borderId="0" xfId="3"/>
    <xf numFmtId="0" fontId="0" fillId="0" borderId="0" xfId="0" applyNumberFormat="1"/>
    <xf numFmtId="9" fontId="0" fillId="0" borderId="0" xfId="0" applyNumberFormat="1"/>
    <xf numFmtId="165" fontId="0" fillId="0" borderId="0" xfId="0" applyNumberFormat="1"/>
    <xf numFmtId="20" fontId="0" fillId="0" borderId="0" xfId="0" applyNumberFormat="1"/>
    <xf numFmtId="0" fontId="0" fillId="0" borderId="0" xfId="0" applyAlignment="1">
      <alignment wrapText="1"/>
    </xf>
    <xf numFmtId="0" fontId="6" fillId="0" borderId="0" xfId="4" applyAlignment="1" applyProtection="1"/>
    <xf numFmtId="0" fontId="0" fillId="0" borderId="0" xfId="0" quotePrefix="1" applyAlignment="1">
      <alignment horizontal="right"/>
    </xf>
    <xf numFmtId="0" fontId="5" fillId="0" borderId="0" xfId="0" applyFont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0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6" borderId="1" xfId="0" applyFill="1" applyBorder="1"/>
    <xf numFmtId="0" fontId="0" fillId="7" borderId="0" xfId="0" quotePrefix="1" applyFill="1"/>
    <xf numFmtId="0" fontId="5" fillId="7" borderId="0" xfId="0" applyFont="1" applyFill="1"/>
    <xf numFmtId="0" fontId="0" fillId="7" borderId="5" xfId="0" applyFill="1" applyBorder="1"/>
    <xf numFmtId="0" fontId="0" fillId="7" borderId="0" xfId="0" applyFill="1" applyBorder="1"/>
    <xf numFmtId="0" fontId="0" fillId="7" borderId="7" xfId="0" applyFill="1" applyBorder="1"/>
    <xf numFmtId="0" fontId="0" fillId="7" borderId="8" xfId="0" applyFill="1" applyBorder="1"/>
    <xf numFmtId="0" fontId="0" fillId="7" borderId="9" xfId="0" applyFill="1" applyBorder="1"/>
    <xf numFmtId="0" fontId="0" fillId="7" borderId="4" xfId="0" applyFill="1" applyBorder="1"/>
    <xf numFmtId="0" fontId="0" fillId="7" borderId="6" xfId="0" applyFill="1" applyBorder="1"/>
    <xf numFmtId="0" fontId="5" fillId="8" borderId="0" xfId="0" applyFont="1" applyFill="1"/>
    <xf numFmtId="0" fontId="0" fillId="8" borderId="0" xfId="0" applyFill="1" applyBorder="1"/>
    <xf numFmtId="0" fontId="0" fillId="8" borderId="8" xfId="0" applyFill="1" applyBorder="1"/>
    <xf numFmtId="0" fontId="0" fillId="8" borderId="3" xfId="0" applyFill="1" applyBorder="1"/>
    <xf numFmtId="0" fontId="0" fillId="8" borderId="2" xfId="0" applyFill="1" applyBorder="1"/>
    <xf numFmtId="0" fontId="0" fillId="4" borderId="0" xfId="0" quotePrefix="1" applyFill="1"/>
    <xf numFmtId="0" fontId="5" fillId="4" borderId="0" xfId="0" applyFont="1" applyFill="1"/>
    <xf numFmtId="0" fontId="0" fillId="4" borderId="5" xfId="0" applyFill="1" applyBorder="1"/>
    <xf numFmtId="0" fontId="0" fillId="4" borderId="0" xfId="0" applyFill="1" applyBorder="1"/>
    <xf numFmtId="0" fontId="0" fillId="4" borderId="3" xfId="0" applyFill="1" applyBorder="1"/>
    <xf numFmtId="0" fontId="0" fillId="0" borderId="0" xfId="0" applyNumberFormat="1" applyBorder="1"/>
    <xf numFmtId="164" fontId="8" fillId="0" borderId="0" xfId="6">
      <alignment horizontal="center"/>
    </xf>
    <xf numFmtId="164" fontId="8" fillId="0" borderId="2" xfId="6" applyBorder="1">
      <alignment horizontal="center"/>
    </xf>
    <xf numFmtId="164" fontId="8" fillId="0" borderId="4" xfId="6" applyBorder="1">
      <alignment horizontal="center"/>
    </xf>
    <xf numFmtId="164" fontId="8" fillId="0" borderId="7" xfId="6" applyBorder="1">
      <alignment horizontal="center"/>
    </xf>
    <xf numFmtId="164" fontId="8" fillId="0" borderId="9" xfId="6" applyBorder="1">
      <alignment horizontal="center"/>
    </xf>
    <xf numFmtId="164" fontId="8" fillId="0" borderId="3" xfId="6" applyBorder="1">
      <alignment horizontal="center"/>
    </xf>
    <xf numFmtId="164" fontId="8" fillId="0" borderId="5" xfId="6" applyBorder="1">
      <alignment horizontal="center"/>
    </xf>
    <xf numFmtId="164" fontId="8" fillId="0" borderId="0" xfId="6" applyBorder="1">
      <alignment horizontal="center"/>
    </xf>
    <xf numFmtId="164" fontId="8" fillId="0" borderId="6" xfId="6" applyBorder="1">
      <alignment horizontal="center"/>
    </xf>
    <xf numFmtId="164" fontId="8" fillId="0" borderId="8" xfId="6" applyBorder="1">
      <alignment horizontal="center"/>
    </xf>
    <xf numFmtId="164" fontId="8" fillId="0" borderId="0" xfId="6" applyFill="1">
      <alignment horizontal="center"/>
    </xf>
    <xf numFmtId="0" fontId="0" fillId="5" borderId="2" xfId="3" applyFont="1" applyBorder="1"/>
    <xf numFmtId="0" fontId="0" fillId="5" borderId="3" xfId="3" applyFont="1" applyBorder="1"/>
    <xf numFmtId="0" fontId="0" fillId="5" borderId="4" xfId="3" applyFont="1" applyBorder="1"/>
    <xf numFmtId="0" fontId="0" fillId="5" borderId="10" xfId="3" applyFont="1" applyBorder="1"/>
    <xf numFmtId="0" fontId="0" fillId="0" borderId="11" xfId="0" applyBorder="1"/>
    <xf numFmtId="0" fontId="0" fillId="5" borderId="0" xfId="3" applyFont="1" applyBorder="1"/>
    <xf numFmtId="0" fontId="1" fillId="5" borderId="12" xfId="3" applyBorder="1"/>
    <xf numFmtId="0" fontId="0" fillId="0" borderId="13" xfId="0" applyBorder="1"/>
    <xf numFmtId="0" fontId="0" fillId="5" borderId="12" xfId="3" applyFont="1" applyBorder="1"/>
    <xf numFmtId="0" fontId="0" fillId="0" borderId="2" xfId="0" quotePrefix="1" applyBorder="1"/>
    <xf numFmtId="0" fontId="0" fillId="0" borderId="3" xfId="0" quotePrefix="1" applyBorder="1"/>
    <xf numFmtId="0" fontId="0" fillId="0" borderId="4" xfId="0" quotePrefix="1" applyBorder="1"/>
    <xf numFmtId="0" fontId="0" fillId="0" borderId="5" xfId="0" quotePrefix="1" applyBorder="1"/>
    <xf numFmtId="0" fontId="0" fillId="0" borderId="0" xfId="0" quotePrefix="1" applyBorder="1"/>
    <xf numFmtId="0" fontId="0" fillId="0" borderId="6" xfId="0" quotePrefix="1" applyBorder="1"/>
  </cellXfs>
  <cellStyles count="7">
    <cellStyle name="Followed Hyperlink" xfId="5" builtinId="9" customBuiltin="1"/>
    <cellStyle name="Heading_1" xfId="1"/>
    <cellStyle name="Heading_2" xfId="2"/>
    <cellStyle name="Heading_3" xfId="3"/>
    <cellStyle name="Hyperlink" xfId="4" builtinId="8" customBuiltin="1"/>
    <cellStyle name="Normal" xfId="0" builtinId="0"/>
    <cellStyle name="Ok" xfId="6"/>
  </cellStyles>
  <dxfs count="1">
    <dxf>
      <numFmt numFmtId="0" formatCode="General"/>
    </dxf>
  </dxfs>
  <tableStyles count="0" defaultTableStyle="TableStyleMedium9" defaultPivotStyle="PivotStyleLight16"/>
  <colors>
    <mruColors>
      <color rgb="FF008000"/>
      <color rgb="FF99FF99"/>
      <color rgb="FFFFCC99"/>
      <color rgb="FFCCFFCC"/>
      <color rgb="FFFFFFC0"/>
      <color rgb="FFE0FFE0"/>
      <color rgb="FFF0FFF0"/>
      <color rgb="FFC0FFC0"/>
    </mruColors>
  </colors>
</styleSheet>
</file>

<file path=xl/volatileDependencies.xml><?xml version="1.0" encoding="utf-8"?>
<volTypes xmlns="http://schemas.openxmlformats.org/spreadsheetml/2006/main">
  <volType type="realTimeData">
    <main first="0">
      <tp t="e">
        <v>#N/A</v>
        <stp/>
        <stp/>
        <tr r="P122" s="5"/>
      </tp>
    </main>
  </volType>
</volType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volatileDependencies" Target="volatileDependenci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Library" Target="EUROTOOL.XLAM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1028"/>
      <sheetName val="1030"/>
      <sheetName val="1031"/>
      <sheetName val="1032"/>
      <sheetName val="1033"/>
      <sheetName val="1035"/>
      <sheetName val="1036"/>
      <sheetName val="1040"/>
      <sheetName val="1041"/>
      <sheetName val="1042"/>
      <sheetName val="1043"/>
      <sheetName val="1053"/>
      <sheetName val="1060"/>
      <sheetName val="1069"/>
      <sheetName val="2052"/>
      <sheetName val="2070"/>
      <sheetName val="3082"/>
      <sheetName val="EUROTOOL"/>
    </sheetNames>
    <definedNames>
      <definedName name="euroconvert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</sheetDataSet>
  </externalBook>
</externalLink>
</file>

<file path=xl/tables/table1.xml><?xml version="1.0" encoding="utf-8"?>
<table xmlns="http://schemas.openxmlformats.org/spreadsheetml/2006/main" id="1" name="table" displayName="table" ref="A5:D18" totalsRowCount="1">
  <autoFilter ref="A5:D17">
    <filterColumn colId="1"/>
    <filterColumn colId="2"/>
    <filterColumn colId="3"/>
  </autoFilter>
  <tableColumns count="4">
    <tableColumn id="1" name="Head1" totalsRowFunction="sum"/>
    <tableColumn id="2" name="Head'2" totalsRowFunction="max"/>
    <tableColumn id="3" name="#Head3" totalsRowFunction="count"/>
    <tableColumn id="4" name="Calced" totalsRowFunction="average" dataDxfId="0">
      <calculatedColumnFormula>[Head1]+[Head''2]</calculatedColumnFormula>
    </tableColumn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22:C25" headerRowCount="0" totalsRowShown="0">
  <tableColumns count="3">
    <tableColumn id="1" name="Column1"/>
    <tableColumn id="2" name="Column2"/>
    <tableColumn id="3" name="Column3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70"/>
  <sheetViews>
    <sheetView tabSelected="1" workbookViewId="0"/>
  </sheetViews>
  <sheetFormatPr defaultRowHeight="15"/>
  <cols>
    <col min="1" max="2" width="10.7109375" customWidth="1"/>
    <col min="3" max="4" width="8.7109375" customWidth="1"/>
    <col min="5" max="6" width="5.7109375" customWidth="1"/>
    <col min="7" max="7" width="15.7109375" customWidth="1"/>
    <col min="8" max="9" width="10.7109375" customWidth="1"/>
    <col min="10" max="11" width="5.7109375" customWidth="1"/>
    <col min="12" max="12" width="10.7109375" customWidth="1"/>
    <col min="13" max="13" width="30.7109375" customWidth="1"/>
    <col min="14" max="18" width="5.7109375" customWidth="1"/>
    <col min="19" max="19" width="20.7109375" customWidth="1"/>
    <col min="20" max="20" width="30.7109375" customWidth="1"/>
    <col min="21" max="22" width="8.7109375" customWidth="1"/>
    <col min="23" max="23" width="5.7109375" customWidth="1"/>
  </cols>
  <sheetData>
    <row r="1" spans="1:23" ht="22.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3" spans="1:23" ht="18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5" spans="1:23" ht="15.75">
      <c r="A5" s="3" t="s">
        <v>2</v>
      </c>
      <c r="B5" s="3"/>
      <c r="C5" s="3"/>
      <c r="D5" s="3"/>
      <c r="E5" s="3"/>
      <c r="G5" s="3" t="s">
        <v>76</v>
      </c>
      <c r="H5" s="3"/>
      <c r="I5" s="3"/>
      <c r="J5" s="3"/>
      <c r="L5" s="3" t="s">
        <v>143</v>
      </c>
      <c r="M5" s="3"/>
      <c r="N5" s="3"/>
      <c r="O5" s="3"/>
      <c r="P5" s="3"/>
      <c r="Q5" s="3"/>
      <c r="S5" s="3" t="s">
        <v>142</v>
      </c>
      <c r="T5" s="3"/>
      <c r="U5" s="3"/>
      <c r="V5" s="3"/>
      <c r="W5" s="3"/>
    </row>
    <row r="6" spans="1:23">
      <c r="A6" s="4" t="s">
        <v>3</v>
      </c>
      <c r="B6" s="4" t="s">
        <v>4</v>
      </c>
      <c r="C6" s="4" t="s">
        <v>5</v>
      </c>
      <c r="D6" s="4" t="s">
        <v>6</v>
      </c>
      <c r="E6" s="4" t="s">
        <v>7</v>
      </c>
      <c r="G6" s="4" t="s">
        <v>4</v>
      </c>
      <c r="H6" s="4" t="s">
        <v>5</v>
      </c>
      <c r="I6" s="4" t="s">
        <v>6</v>
      </c>
      <c r="J6" s="4" t="s">
        <v>7</v>
      </c>
      <c r="L6" s="4" t="s">
        <v>3</v>
      </c>
      <c r="M6" s="4" t="s">
        <v>4</v>
      </c>
      <c r="N6" s="4" t="s">
        <v>5</v>
      </c>
      <c r="O6" s="4" t="s">
        <v>6</v>
      </c>
      <c r="P6" s="4" t="s">
        <v>7</v>
      </c>
      <c r="Q6" s="4"/>
      <c r="S6" s="4" t="s">
        <v>3</v>
      </c>
      <c r="T6" s="4" t="s">
        <v>4</v>
      </c>
      <c r="U6" s="4" t="s">
        <v>5</v>
      </c>
      <c r="V6" s="4" t="s">
        <v>6</v>
      </c>
      <c r="W6" s="4" t="s">
        <v>7</v>
      </c>
    </row>
    <row r="7" spans="1:23">
      <c r="A7" t="s">
        <v>8</v>
      </c>
      <c r="B7" s="5" t="s">
        <v>9</v>
      </c>
      <c r="C7">
        <f>1</f>
        <v>1</v>
      </c>
      <c r="D7">
        <v>1</v>
      </c>
      <c r="E7" s="49">
        <f>IF(IF(AND(ISERROR(C7),ISERROR(D7)),ERROR.TYPE(C7)=ERROR.TYPE(D7),IF(AND(NOT(ISERROR(C7)),NOT(ISERROR(D7))),AND(ISBLANK(C7)=ISBLANK(D7),C7=D7))),1,"ERR!")</f>
        <v>1</v>
      </c>
      <c r="G7" s="5" t="s">
        <v>77</v>
      </c>
      <c r="H7" s="5">
        <f>7*3+2</f>
        <v>23</v>
      </c>
      <c r="I7">
        <v>23</v>
      </c>
      <c r="J7" s="49">
        <f t="shared" ref="J7:J70" si="0">IF(IF(AND(ISERROR(H7),ISERROR(I7)),ERROR.TYPE(H7)=ERROR.TYPE(I7),IF(AND(NOT(ISERROR(H7)),NOT(ISERROR(I7))),AND(ISBLANK(H7)=ISBLANK(I7),H7=I7))),1,"ERR!")</f>
        <v>1</v>
      </c>
      <c r="L7" t="s">
        <v>144</v>
      </c>
      <c r="M7" s="5" t="s">
        <v>145</v>
      </c>
      <c r="N7">
        <f>Q7</f>
        <v>1</v>
      </c>
      <c r="O7">
        <v>1</v>
      </c>
      <c r="P7" s="49">
        <f t="shared" ref="P7:P24" si="1">IF(IF(AND(ISERROR(N7),ISERROR(O7)),ERROR.TYPE(N7)=ERROR.TYPE(O7),IF(AND(NOT(ISERROR(N7)),NOT(ISERROR(O7))),AND(ISBLANK(N7)=ISBLANK(O7),N7=O7))),1,"ERR!")</f>
        <v>1</v>
      </c>
      <c r="Q7">
        <v>1</v>
      </c>
      <c r="S7" t="s">
        <v>187</v>
      </c>
      <c r="T7" s="5" t="s">
        <v>188</v>
      </c>
      <c r="U7">
        <f>ABS(1)</f>
        <v>1</v>
      </c>
      <c r="V7">
        <v>1</v>
      </c>
      <c r="W7" s="49">
        <f t="shared" ref="W7:W14" si="2">IF(IF(AND(ISERROR(U7),ISERROR(V7)),ERROR.TYPE(U7)=ERROR.TYPE(V7),IF(AND(NOT(ISERROR(U7)),NOT(ISERROR(V7))),AND(ISBLANK(U7)=ISBLANK(V7),U7=V7))),1,"ERR!")</f>
        <v>1</v>
      </c>
    </row>
    <row r="8" spans="1:23">
      <c r="A8" t="s">
        <v>10</v>
      </c>
      <c r="B8" s="5" t="s">
        <v>11</v>
      </c>
      <c r="C8">
        <f>1.2345</f>
        <v>1.2344999999999999</v>
      </c>
      <c r="D8">
        <v>1.2344999999999999</v>
      </c>
      <c r="E8" s="49">
        <f>IF(IF(AND(ISERROR(C8),ISERROR(D8)),ERROR.TYPE(C8)=ERROR.TYPE(D8),IF(AND(NOT(ISERROR(C8)),NOT(ISERROR(D8))),AND(ISBLANK(C8)=ISBLANK(D8),C8=D8))),1,"ERR!")</f>
        <v>1</v>
      </c>
      <c r="G8" s="5" t="s">
        <v>78</v>
      </c>
      <c r="H8" s="5">
        <f>7*3+(2)</f>
        <v>23</v>
      </c>
      <c r="I8">
        <v>23</v>
      </c>
      <c r="J8" s="49">
        <f t="shared" si="0"/>
        <v>1</v>
      </c>
      <c r="L8" t="s">
        <v>144</v>
      </c>
      <c r="M8" s="5" t="s">
        <v>146</v>
      </c>
      <c r="N8">
        <f>$Q8</f>
        <v>2</v>
      </c>
      <c r="O8">
        <v>2</v>
      </c>
      <c r="P8" s="49">
        <f t="shared" si="1"/>
        <v>1</v>
      </c>
      <c r="Q8">
        <v>2</v>
      </c>
      <c r="S8" t="s">
        <v>189</v>
      </c>
      <c r="T8" s="5" t="s">
        <v>190</v>
      </c>
      <c r="U8">
        <f>MIN(1)</f>
        <v>1</v>
      </c>
      <c r="V8">
        <v>1</v>
      </c>
      <c r="W8" s="49">
        <f t="shared" si="2"/>
        <v>1</v>
      </c>
    </row>
    <row r="9" spans="1:23">
      <c r="A9" t="s">
        <v>12</v>
      </c>
      <c r="B9" s="5" t="s">
        <v>13</v>
      </c>
      <c r="C9" t="str">
        <f>""</f>
        <v/>
      </c>
      <c r="E9" s="49">
        <f>IF(IF(NOT(ISERROR(C9)),AND(NOT(ISBLANK(C9)),C9="")),1,"ERR!")</f>
        <v>1</v>
      </c>
      <c r="G9" s="5" t="s">
        <v>79</v>
      </c>
      <c r="H9" s="5">
        <f>7*(3)+2</f>
        <v>23</v>
      </c>
      <c r="I9">
        <v>23</v>
      </c>
      <c r="J9" s="49">
        <f t="shared" si="0"/>
        <v>1</v>
      </c>
      <c r="L9" t="s">
        <v>144</v>
      </c>
      <c r="M9" s="5" t="s">
        <v>147</v>
      </c>
      <c r="N9">
        <f>Q$9</f>
        <v>3</v>
      </c>
      <c r="O9">
        <v>3</v>
      </c>
      <c r="P9" s="49">
        <f t="shared" si="1"/>
        <v>1</v>
      </c>
      <c r="Q9">
        <v>3</v>
      </c>
      <c r="S9" t="s">
        <v>191</v>
      </c>
      <c r="T9" s="5" t="s">
        <v>192</v>
      </c>
      <c r="U9">
        <f>MIN(1,2,3,4,5,6,7,8,9,10,11,12,13,14,15,16,17,18,19,20,21,22,23,24,25,26,27,28,29,30)</f>
        <v>1</v>
      </c>
      <c r="V9">
        <v>1</v>
      </c>
      <c r="W9" s="49">
        <f t="shared" si="2"/>
        <v>1</v>
      </c>
    </row>
    <row r="10" spans="1:23">
      <c r="A10" t="s">
        <v>12</v>
      </c>
      <c r="B10" s="5" t="s">
        <v>14</v>
      </c>
      <c r="C10" t="str">
        <f>"ABC"</f>
        <v>ABC</v>
      </c>
      <c r="D10" t="s">
        <v>15</v>
      </c>
      <c r="E10" s="49">
        <f t="shared" ref="E10:E24" si="3">IF(IF(AND(ISERROR(C10),ISERROR(D10)),ERROR.TYPE(C10)=ERROR.TYPE(D10),IF(AND(NOT(ISERROR(C10)),NOT(ISERROR(D10))),AND(ISBLANK(C10)=ISBLANK(D10),C10=D10))),1,"ERR!")</f>
        <v>1</v>
      </c>
      <c r="G10" s="5" t="s">
        <v>80</v>
      </c>
      <c r="H10" s="5">
        <f>(7)*3+2</f>
        <v>23</v>
      </c>
      <c r="I10">
        <v>23</v>
      </c>
      <c r="J10" s="49">
        <f t="shared" si="0"/>
        <v>1</v>
      </c>
      <c r="L10" t="s">
        <v>144</v>
      </c>
      <c r="M10" s="5" t="s">
        <v>148</v>
      </c>
      <c r="N10">
        <f>$Q$10</f>
        <v>4</v>
      </c>
      <c r="O10">
        <v>4</v>
      </c>
      <c r="P10" s="49">
        <f t="shared" si="1"/>
        <v>1</v>
      </c>
      <c r="Q10">
        <v>4</v>
      </c>
      <c r="S10" t="s">
        <v>193</v>
      </c>
      <c r="T10" s="5" t="s">
        <v>194</v>
      </c>
      <c r="U10">
        <f>SUM(1,,2)</f>
        <v>3</v>
      </c>
      <c r="V10">
        <v>3</v>
      </c>
      <c r="W10" s="49">
        <f t="shared" si="2"/>
        <v>1</v>
      </c>
    </row>
    <row r="11" spans="1:23">
      <c r="A11" t="s">
        <v>12</v>
      </c>
      <c r="B11" s="5" t="s">
        <v>16</v>
      </c>
      <c r="C11" t="str">
        <f>"2"</f>
        <v>2</v>
      </c>
      <c r="D11" s="5" t="s">
        <v>17</v>
      </c>
      <c r="E11" s="49">
        <f t="shared" si="3"/>
        <v>1</v>
      </c>
      <c r="G11" s="5" t="s">
        <v>81</v>
      </c>
      <c r="H11" s="5">
        <f>7*(3+2)</f>
        <v>35</v>
      </c>
      <c r="I11">
        <v>35</v>
      </c>
      <c r="J11" s="49">
        <f t="shared" si="0"/>
        <v>1</v>
      </c>
      <c r="L11" t="s">
        <v>149</v>
      </c>
      <c r="M11" s="5" t="s">
        <v>150</v>
      </c>
      <c r="N11">
        <f>Q11:Q12</f>
        <v>5</v>
      </c>
      <c r="O11">
        <v>5</v>
      </c>
      <c r="P11" s="49">
        <f t="shared" si="1"/>
        <v>1</v>
      </c>
      <c r="Q11">
        <v>5</v>
      </c>
      <c r="S11" t="s">
        <v>195</v>
      </c>
      <c r="T11" s="5" t="s">
        <v>196</v>
      </c>
      <c r="U11">
        <f>EDATE(DATE(2000,1,1),1)</f>
        <v>36557</v>
      </c>
      <c r="V11">
        <v>36557</v>
      </c>
      <c r="W11" s="49">
        <f t="shared" si="2"/>
        <v>1</v>
      </c>
    </row>
    <row r="12" spans="1:23">
      <c r="A12" t="s">
        <v>18</v>
      </c>
      <c r="B12" s="5" t="s">
        <v>19</v>
      </c>
      <c r="C12" t="b">
        <f>FALSE</f>
        <v>0</v>
      </c>
      <c r="D12" t="b">
        <v>0</v>
      </c>
      <c r="E12" s="49">
        <f t="shared" si="3"/>
        <v>1</v>
      </c>
      <c r="G12" s="5" t="s">
        <v>82</v>
      </c>
      <c r="H12" s="5">
        <f>(7*3)+2</f>
        <v>23</v>
      </c>
      <c r="I12">
        <v>23</v>
      </c>
      <c r="J12" s="49">
        <f t="shared" si="0"/>
        <v>1</v>
      </c>
      <c r="L12" t="s">
        <v>149</v>
      </c>
      <c r="M12" s="5" t="s">
        <v>150</v>
      </c>
      <c r="N12">
        <f>Q11:Q12</f>
        <v>6</v>
      </c>
      <c r="O12">
        <v>6</v>
      </c>
      <c r="P12" s="49">
        <f t="shared" si="1"/>
        <v>1</v>
      </c>
      <c r="Q12">
        <v>6</v>
      </c>
      <c r="S12" t="s">
        <v>197</v>
      </c>
      <c r="T12" s="5" t="s">
        <v>198</v>
      </c>
      <c r="U12">
        <f>SUM(1)</f>
        <v>1</v>
      </c>
      <c r="V12">
        <v>1</v>
      </c>
      <c r="W12" s="49">
        <f t="shared" si="2"/>
        <v>1</v>
      </c>
    </row>
    <row r="13" spans="1:23">
      <c r="A13" t="s">
        <v>18</v>
      </c>
      <c r="B13" s="5" t="s">
        <v>20</v>
      </c>
      <c r="C13" t="b">
        <f>TRUE</f>
        <v>1</v>
      </c>
      <c r="D13" t="b">
        <v>1</v>
      </c>
      <c r="E13" s="49">
        <f t="shared" si="3"/>
        <v>1</v>
      </c>
      <c r="G13" s="5" t="s">
        <v>83</v>
      </c>
      <c r="H13" s="5">
        <f>(7*3+2)</f>
        <v>23</v>
      </c>
      <c r="I13">
        <v>23</v>
      </c>
      <c r="J13" s="49">
        <f t="shared" si="0"/>
        <v>1</v>
      </c>
      <c r="L13" t="s">
        <v>149</v>
      </c>
      <c r="M13" s="5" t="s">
        <v>151</v>
      </c>
      <c r="N13">
        <f>Q12:$Q13</f>
        <v>7</v>
      </c>
      <c r="O13">
        <v>7</v>
      </c>
      <c r="P13" s="49">
        <f t="shared" si="1"/>
        <v>1</v>
      </c>
      <c r="Q13">
        <v>7</v>
      </c>
      <c r="S13" t="s">
        <v>638</v>
      </c>
      <c r="T13" s="5" t="s">
        <v>639</v>
      </c>
      <c r="U13" s="5">
        <f>SUM(Param:Functions!$G$22)</f>
        <v>18</v>
      </c>
      <c r="V13">
        <v>18</v>
      </c>
      <c r="W13" s="49">
        <f t="shared" si="2"/>
        <v>1</v>
      </c>
    </row>
    <row r="14" spans="1:23">
      <c r="A14" t="s">
        <v>21</v>
      </c>
      <c r="B14" s="5" t="s">
        <v>22</v>
      </c>
      <c r="C14" t="e">
        <f>#NULL!</f>
        <v>#NULL!</v>
      </c>
      <c r="D14" t="e">
        <v>#NULL!</v>
      </c>
      <c r="E14" s="49">
        <f t="shared" si="3"/>
        <v>1</v>
      </c>
      <c r="G14" s="5" t="s">
        <v>84</v>
      </c>
      <c r="H14" s="5">
        <f>7+3*2</f>
        <v>13</v>
      </c>
      <c r="I14">
        <v>13</v>
      </c>
      <c r="J14" s="49">
        <f t="shared" si="0"/>
        <v>1</v>
      </c>
      <c r="L14" t="s">
        <v>149</v>
      </c>
      <c r="M14" s="5" t="s">
        <v>152</v>
      </c>
      <c r="N14">
        <f>Q13:Q$14</f>
        <v>8</v>
      </c>
      <c r="O14">
        <v>8</v>
      </c>
      <c r="P14" s="49">
        <f t="shared" si="1"/>
        <v>1</v>
      </c>
      <c r="Q14">
        <v>8</v>
      </c>
      <c r="S14" t="s">
        <v>199</v>
      </c>
      <c r="T14" s="5" t="s">
        <v>200</v>
      </c>
      <c r="U14">
        <f>SUM(1,2)</f>
        <v>3</v>
      </c>
      <c r="V14">
        <v>3</v>
      </c>
      <c r="W14" s="49">
        <f t="shared" si="2"/>
        <v>1</v>
      </c>
    </row>
    <row r="15" spans="1:23">
      <c r="A15" t="s">
        <v>23</v>
      </c>
      <c r="B15" s="5" t="s">
        <v>24</v>
      </c>
      <c r="C15" t="e">
        <f>#DIV/0!</f>
        <v>#DIV/0!</v>
      </c>
      <c r="D15" t="e">
        <v>#DIV/0!</v>
      </c>
      <c r="E15" s="49">
        <f t="shared" si="3"/>
        <v>1</v>
      </c>
      <c r="G15" s="5" t="s">
        <v>85</v>
      </c>
      <c r="H15" s="5">
        <f>7+(3*2)</f>
        <v>13</v>
      </c>
      <c r="I15">
        <v>13</v>
      </c>
      <c r="J15" s="49">
        <f t="shared" si="0"/>
        <v>1</v>
      </c>
      <c r="L15" t="s">
        <v>149</v>
      </c>
      <c r="M15" s="5" t="s">
        <v>153</v>
      </c>
      <c r="N15">
        <f>Q14:$Q$15</f>
        <v>9</v>
      </c>
      <c r="O15">
        <v>9</v>
      </c>
      <c r="P15" s="49">
        <f t="shared" si="1"/>
        <v>1</v>
      </c>
      <c r="Q15">
        <v>9</v>
      </c>
    </row>
    <row r="16" spans="1:23" ht="15.75">
      <c r="A16" t="s">
        <v>25</v>
      </c>
      <c r="B16" s="5" t="s">
        <v>26</v>
      </c>
      <c r="C16" t="e">
        <f>#VALUE!</f>
        <v>#VALUE!</v>
      </c>
      <c r="D16" t="e">
        <v>#VALUE!</v>
      </c>
      <c r="E16" s="49">
        <f t="shared" si="3"/>
        <v>1</v>
      </c>
      <c r="G16" s="5" t="s">
        <v>86</v>
      </c>
      <c r="H16" s="5">
        <f>(7+3)*2</f>
        <v>20</v>
      </c>
      <c r="I16">
        <v>20</v>
      </c>
      <c r="J16" s="49">
        <f t="shared" si="0"/>
        <v>1</v>
      </c>
      <c r="L16" t="s">
        <v>149</v>
      </c>
      <c r="M16" s="5" t="s">
        <v>154</v>
      </c>
      <c r="N16">
        <f>$Q15:Q16</f>
        <v>10</v>
      </c>
      <c r="O16">
        <v>10</v>
      </c>
      <c r="P16" s="49">
        <f t="shared" si="1"/>
        <v>1</v>
      </c>
      <c r="Q16">
        <v>10</v>
      </c>
      <c r="S16" s="3" t="s">
        <v>210</v>
      </c>
      <c r="T16" s="3"/>
      <c r="U16" s="3"/>
      <c r="V16" s="3"/>
      <c r="W16" s="3"/>
    </row>
    <row r="17" spans="1:23">
      <c r="A17" t="s">
        <v>27</v>
      </c>
      <c r="B17" s="5" t="s">
        <v>28</v>
      </c>
      <c r="C17" t="e">
        <f>#REF!</f>
        <v>#REF!</v>
      </c>
      <c r="D17" t="e">
        <v>#REF!</v>
      </c>
      <c r="E17" s="49">
        <f t="shared" si="3"/>
        <v>1</v>
      </c>
      <c r="G17" s="5" t="s">
        <v>87</v>
      </c>
      <c r="H17" s="5">
        <f>7^3*2</f>
        <v>686</v>
      </c>
      <c r="I17">
        <v>686</v>
      </c>
      <c r="J17" s="49">
        <f t="shared" si="0"/>
        <v>1</v>
      </c>
      <c r="L17" t="s">
        <v>149</v>
      </c>
      <c r="M17" s="5" t="s">
        <v>155</v>
      </c>
      <c r="N17">
        <f>Q$16:Q17</f>
        <v>11</v>
      </c>
      <c r="O17">
        <v>11</v>
      </c>
      <c r="P17" s="49">
        <f t="shared" si="1"/>
        <v>1</v>
      </c>
      <c r="Q17">
        <v>11</v>
      </c>
      <c r="S17" s="4" t="s">
        <v>3</v>
      </c>
      <c r="T17" s="4" t="s">
        <v>4</v>
      </c>
      <c r="U17" s="4" t="s">
        <v>5</v>
      </c>
      <c r="V17" s="4" t="s">
        <v>6</v>
      </c>
      <c r="W17" s="4" t="s">
        <v>7</v>
      </c>
    </row>
    <row r="18" spans="1:23">
      <c r="A18" t="s">
        <v>29</v>
      </c>
      <c r="B18" s="5" t="s">
        <v>30</v>
      </c>
      <c r="C18" t="e">
        <f>#NAME?</f>
        <v>#NAME?</v>
      </c>
      <c r="D18" t="e">
        <v>#NAME?</v>
      </c>
      <c r="E18" s="49">
        <f t="shared" si="3"/>
        <v>1</v>
      </c>
      <c r="G18" s="5" t="s">
        <v>88</v>
      </c>
      <c r="H18" s="5">
        <f>7^(3*2)</f>
        <v>117649</v>
      </c>
      <c r="I18">
        <v>117649</v>
      </c>
      <c r="J18" s="49">
        <f t="shared" si="0"/>
        <v>1</v>
      </c>
      <c r="L18" t="s">
        <v>149</v>
      </c>
      <c r="M18" s="5" t="s">
        <v>156</v>
      </c>
      <c r="N18">
        <f>$Q$17:Q18</f>
        <v>12</v>
      </c>
      <c r="O18">
        <v>12</v>
      </c>
      <c r="P18" s="49">
        <f t="shared" si="1"/>
        <v>1</v>
      </c>
      <c r="Q18">
        <v>12</v>
      </c>
      <c r="S18" t="s">
        <v>211</v>
      </c>
      <c r="T18" s="5" t="s">
        <v>41</v>
      </c>
      <c r="U18">
        <f>(1)</f>
        <v>1</v>
      </c>
      <c r="V18">
        <v>1</v>
      </c>
      <c r="W18" s="49">
        <f t="shared" ref="W18:W28" si="4">IF(IF(AND(ISERROR(U18),ISERROR(V18)),ERROR.TYPE(U18)=ERROR.TYPE(V18),IF(AND(NOT(ISERROR(U18)),NOT(ISERROR(V18))),AND(ISBLANK(U18)=ISBLANK(V18),U18=V18))),1,"ERR!")</f>
        <v>1</v>
      </c>
    </row>
    <row r="19" spans="1:23">
      <c r="A19" t="s">
        <v>31</v>
      </c>
      <c r="B19" s="5" t="s">
        <v>32</v>
      </c>
      <c r="C19" t="e">
        <f>#NUM!</f>
        <v>#NUM!</v>
      </c>
      <c r="D19" t="e">
        <v>#NUM!</v>
      </c>
      <c r="E19" s="49">
        <f t="shared" si="3"/>
        <v>1</v>
      </c>
      <c r="G19" s="5" t="s">
        <v>89</v>
      </c>
      <c r="H19" s="5">
        <f>(7^3)*2</f>
        <v>686</v>
      </c>
      <c r="I19">
        <v>686</v>
      </c>
      <c r="J19" s="49">
        <f t="shared" si="0"/>
        <v>1</v>
      </c>
      <c r="L19" t="s">
        <v>149</v>
      </c>
      <c r="M19" s="5" t="s">
        <v>157</v>
      </c>
      <c r="N19">
        <f>$Q$18:$Q$19</f>
        <v>13</v>
      </c>
      <c r="O19">
        <v>13</v>
      </c>
      <c r="P19" s="49">
        <f t="shared" si="1"/>
        <v>1</v>
      </c>
      <c r="Q19">
        <v>13</v>
      </c>
      <c r="S19" t="s">
        <v>212</v>
      </c>
      <c r="T19" s="5" t="s">
        <v>213</v>
      </c>
      <c r="U19">
        <f>({2})</f>
        <v>2</v>
      </c>
      <c r="V19">
        <v>2</v>
      </c>
      <c r="W19" s="49">
        <f t="shared" si="4"/>
        <v>1</v>
      </c>
    </row>
    <row r="20" spans="1:23">
      <c r="A20" t="s">
        <v>33</v>
      </c>
      <c r="B20" s="5" t="s">
        <v>34</v>
      </c>
      <c r="C20" t="e">
        <f>#N/A</f>
        <v>#N/A</v>
      </c>
      <c r="D20" t="e">
        <v>#N/A</v>
      </c>
      <c r="E20" s="49">
        <f t="shared" si="3"/>
        <v>1</v>
      </c>
      <c r="G20" s="5" t="s">
        <v>90</v>
      </c>
      <c r="H20" s="5">
        <f>7*3^2</f>
        <v>63</v>
      </c>
      <c r="I20">
        <v>63</v>
      </c>
      <c r="J20" s="49">
        <f t="shared" si="0"/>
        <v>1</v>
      </c>
      <c r="L20" t="s">
        <v>158</v>
      </c>
      <c r="M20" s="5" t="s">
        <v>756</v>
      </c>
      <c r="N20">
        <f>Cell!Q20</f>
        <v>14</v>
      </c>
      <c r="O20">
        <v>14</v>
      </c>
      <c r="P20" s="49">
        <f t="shared" si="1"/>
        <v>1</v>
      </c>
      <c r="Q20">
        <v>14</v>
      </c>
      <c r="S20" t="s">
        <v>214</v>
      </c>
      <c r="T20" s="5" t="s">
        <v>215</v>
      </c>
      <c r="U20">
        <f>(+(3))</f>
        <v>3</v>
      </c>
      <c r="V20">
        <v>3</v>
      </c>
      <c r="W20" s="49">
        <f t="shared" si="4"/>
        <v>1</v>
      </c>
    </row>
    <row r="21" spans="1:23">
      <c r="A21" t="s">
        <v>35</v>
      </c>
      <c r="B21" s="5" t="s">
        <v>36</v>
      </c>
      <c r="C21">
        <f>{1}</f>
        <v>1</v>
      </c>
      <c r="D21">
        <v>1</v>
      </c>
      <c r="E21" s="49">
        <f t="shared" si="3"/>
        <v>1</v>
      </c>
      <c r="G21" s="5" t="s">
        <v>91</v>
      </c>
      <c r="H21" s="5">
        <f>7*(3^2)</f>
        <v>63</v>
      </c>
      <c r="I21">
        <v>63</v>
      </c>
      <c r="J21" s="49">
        <f t="shared" si="0"/>
        <v>1</v>
      </c>
      <c r="L21" t="s">
        <v>159</v>
      </c>
      <c r="M21" s="5" t="s">
        <v>160</v>
      </c>
      <c r="N21">
        <f>Cell!$Q$20:$Q$21</f>
        <v>15</v>
      </c>
      <c r="O21">
        <v>15</v>
      </c>
      <c r="P21" s="49">
        <f t="shared" si="1"/>
        <v>1</v>
      </c>
      <c r="Q21">
        <v>15</v>
      </c>
      <c r="S21" t="s">
        <v>216</v>
      </c>
      <c r="T21" s="5" t="s">
        <v>689</v>
      </c>
      <c r="U21">
        <f>((400)%)</f>
        <v>4</v>
      </c>
      <c r="V21">
        <v>4</v>
      </c>
      <c r="W21" s="49">
        <f t="shared" si="4"/>
        <v>1</v>
      </c>
    </row>
    <row r="22" spans="1:23">
      <c r="A22" t="s">
        <v>35</v>
      </c>
      <c r="B22" s="5" t="s">
        <v>37</v>
      </c>
      <c r="C22" t="str">
        <f>{"ABC"}</f>
        <v>ABC</v>
      </c>
      <c r="D22" t="s">
        <v>15</v>
      </c>
      <c r="E22" s="49">
        <f t="shared" si="3"/>
        <v>1</v>
      </c>
      <c r="G22" s="5" t="s">
        <v>92</v>
      </c>
      <c r="H22" s="5">
        <f>(7*3)^2</f>
        <v>441</v>
      </c>
      <c r="I22">
        <v>441</v>
      </c>
      <c r="J22" s="49">
        <f t="shared" si="0"/>
        <v>1</v>
      </c>
      <c r="L22" t="s">
        <v>158</v>
      </c>
      <c r="M22" s="5" t="s">
        <v>163</v>
      </c>
      <c r="N22">
        <f>Param!G21</f>
        <v>16</v>
      </c>
      <c r="O22">
        <v>16</v>
      </c>
      <c r="P22" s="49">
        <f t="shared" si="1"/>
        <v>1</v>
      </c>
      <c r="S22" t="s">
        <v>217</v>
      </c>
      <c r="T22" s="5" t="s">
        <v>688</v>
      </c>
      <c r="U22">
        <f>((2)+(3))</f>
        <v>5</v>
      </c>
      <c r="V22">
        <v>5</v>
      </c>
      <c r="W22" s="49">
        <f t="shared" si="4"/>
        <v>1</v>
      </c>
    </row>
    <row r="23" spans="1:23">
      <c r="A23" t="s">
        <v>35</v>
      </c>
      <c r="B23" s="5" t="s">
        <v>38</v>
      </c>
      <c r="C23" s="5" t="b">
        <f>{TRUE}</f>
        <v>1</v>
      </c>
      <c r="D23" t="b">
        <v>1</v>
      </c>
      <c r="E23" s="49">
        <f t="shared" si="3"/>
        <v>1</v>
      </c>
      <c r="G23" s="5" t="s">
        <v>93</v>
      </c>
      <c r="H23" s="5">
        <f>7^3+2</f>
        <v>345</v>
      </c>
      <c r="I23">
        <v>345</v>
      </c>
      <c r="J23" s="49">
        <f t="shared" si="0"/>
        <v>1</v>
      </c>
      <c r="L23" t="s">
        <v>158</v>
      </c>
      <c r="M23" s="5" t="s">
        <v>162</v>
      </c>
      <c r="N23" s="5">
        <f>Param!$G$22</f>
        <v>17</v>
      </c>
      <c r="O23">
        <v>17</v>
      </c>
      <c r="P23" s="49">
        <f t="shared" si="1"/>
        <v>1</v>
      </c>
      <c r="S23" t="s">
        <v>218</v>
      </c>
      <c r="T23" s="5" t="s">
        <v>219</v>
      </c>
      <c r="U23">
        <f>(PI())</f>
        <v>3.1415926535897931</v>
      </c>
      <c r="V23">
        <v>3.1415926535897931</v>
      </c>
      <c r="W23" s="49">
        <f t="shared" si="4"/>
        <v>1</v>
      </c>
    </row>
    <row r="24" spans="1:23">
      <c r="A24" t="s">
        <v>35</v>
      </c>
      <c r="B24" s="5" t="s">
        <v>39</v>
      </c>
      <c r="C24" t="e">
        <f>{#VALUE!}</f>
        <v>#VALUE!</v>
      </c>
      <c r="D24" t="e">
        <v>#VALUE!</v>
      </c>
      <c r="E24" s="49">
        <f t="shared" si="3"/>
        <v>1</v>
      </c>
      <c r="G24" s="5" t="s">
        <v>94</v>
      </c>
      <c r="H24" s="5">
        <f>7^(3+2)</f>
        <v>16807</v>
      </c>
      <c r="I24">
        <v>16807</v>
      </c>
      <c r="J24" s="49">
        <f t="shared" si="0"/>
        <v>1</v>
      </c>
      <c r="L24" t="s">
        <v>159</v>
      </c>
      <c r="M24" s="5" t="s">
        <v>161</v>
      </c>
      <c r="N24">
        <f>Param!$G$23:$G$24</f>
        <v>19</v>
      </c>
      <c r="O24">
        <v>19</v>
      </c>
      <c r="P24" s="49">
        <f t="shared" si="1"/>
        <v>1</v>
      </c>
      <c r="S24" t="s">
        <v>220</v>
      </c>
      <c r="T24" s="5" t="s">
        <v>221</v>
      </c>
      <c r="U24">
        <f>(ABS((7)))</f>
        <v>7</v>
      </c>
      <c r="V24">
        <v>7</v>
      </c>
      <c r="W24" s="49">
        <f t="shared" si="4"/>
        <v>1</v>
      </c>
    </row>
    <row r="25" spans="1:23">
      <c r="G25" s="5" t="s">
        <v>95</v>
      </c>
      <c r="H25" s="5">
        <f>(7^3)+2</f>
        <v>345</v>
      </c>
      <c r="I25">
        <v>345</v>
      </c>
      <c r="J25" s="49">
        <f t="shared" si="0"/>
        <v>1</v>
      </c>
      <c r="S25" t="s">
        <v>222</v>
      </c>
      <c r="T25" s="5" t="s">
        <v>690</v>
      </c>
      <c r="U25">
        <f>(SUM((3),(5)))</f>
        <v>8</v>
      </c>
      <c r="V25">
        <v>8</v>
      </c>
      <c r="W25" s="49">
        <f t="shared" si="4"/>
        <v>1</v>
      </c>
    </row>
    <row r="26" spans="1:23" ht="15.75">
      <c r="A26" s="3" t="s">
        <v>48</v>
      </c>
      <c r="B26" s="3"/>
      <c r="C26" s="3"/>
      <c r="D26" s="3"/>
      <c r="E26" s="3"/>
      <c r="G26" s="5" t="s">
        <v>96</v>
      </c>
      <c r="H26" s="5">
        <f>7+3^2</f>
        <v>16</v>
      </c>
      <c r="I26">
        <v>16</v>
      </c>
      <c r="J26" s="49">
        <f t="shared" si="0"/>
        <v>1</v>
      </c>
      <c r="L26" s="3" t="s">
        <v>164</v>
      </c>
      <c r="M26" s="3"/>
      <c r="N26" s="3"/>
      <c r="O26" s="3"/>
      <c r="P26" s="3"/>
      <c r="Q26" s="3"/>
      <c r="S26" t="s">
        <v>223</v>
      </c>
      <c r="T26" s="5" t="s">
        <v>691</v>
      </c>
      <c r="U26">
        <f>($V$26)</f>
        <v>9</v>
      </c>
      <c r="V26">
        <v>9</v>
      </c>
      <c r="W26" s="49">
        <f t="shared" si="4"/>
        <v>1</v>
      </c>
    </row>
    <row r="27" spans="1:23">
      <c r="A27" s="4" t="s">
        <v>3</v>
      </c>
      <c r="B27" s="4" t="s">
        <v>4</v>
      </c>
      <c r="C27" s="4" t="s">
        <v>5</v>
      </c>
      <c r="D27" s="4" t="s">
        <v>6</v>
      </c>
      <c r="E27" s="4" t="s">
        <v>7</v>
      </c>
      <c r="G27" s="5" t="s">
        <v>97</v>
      </c>
      <c r="H27" s="5">
        <f>7+(3^2)</f>
        <v>16</v>
      </c>
      <c r="I27">
        <v>16</v>
      </c>
      <c r="J27" s="49">
        <f t="shared" si="0"/>
        <v>1</v>
      </c>
      <c r="L27" s="4" t="s">
        <v>3</v>
      </c>
      <c r="M27" s="4" t="s">
        <v>4</v>
      </c>
      <c r="N27" s="4" t="s">
        <v>5</v>
      </c>
      <c r="O27" s="4" t="s">
        <v>6</v>
      </c>
      <c r="P27" s="4" t="s">
        <v>7</v>
      </c>
      <c r="Q27">
        <v>1</v>
      </c>
      <c r="S27" t="s">
        <v>224</v>
      </c>
      <c r="T27" s="5" t="s">
        <v>692</v>
      </c>
      <c r="U27">
        <f>(($V$27) ($V$27))</f>
        <v>10</v>
      </c>
      <c r="V27">
        <v>10</v>
      </c>
      <c r="W27" s="49">
        <f t="shared" si="4"/>
        <v>1</v>
      </c>
    </row>
    <row r="28" spans="1:23">
      <c r="A28" t="s">
        <v>40</v>
      </c>
      <c r="B28" s="5" t="s">
        <v>41</v>
      </c>
      <c r="C28">
        <f>(1)</f>
        <v>1</v>
      </c>
      <c r="D28">
        <v>1</v>
      </c>
      <c r="E28" s="49">
        <f t="shared" ref="E28:E31" si="5">IF(IF(AND(ISERROR(C28),ISERROR(D28)),ERROR.TYPE(C28)=ERROR.TYPE(D28),IF(AND(NOT(ISERROR(C28)),NOT(ISERROR(D28))),AND(ISBLANK(C28)=ISBLANK(D28),C28=D28))),1,"ERR!")</f>
        <v>1</v>
      </c>
      <c r="G28" s="5" t="s">
        <v>98</v>
      </c>
      <c r="H28" s="5">
        <f>(7+3)^2</f>
        <v>100</v>
      </c>
      <c r="I28">
        <v>100</v>
      </c>
      <c r="J28" s="49">
        <f t="shared" si="0"/>
        <v>1</v>
      </c>
      <c r="L28" t="s">
        <v>165</v>
      </c>
      <c r="M28" s="5" t="s">
        <v>166</v>
      </c>
      <c r="N28" s="5">
        <f>SUM((Q27:Q29,Q28:Q30))</f>
        <v>6</v>
      </c>
      <c r="O28">
        <v>6</v>
      </c>
      <c r="P28" s="49">
        <f t="shared" ref="P28:P30" si="6">IF(IF(AND(ISERROR(N28),ISERROR(O28)),ERROR.TYPE(N28)=ERROR.TYPE(O28),IF(AND(NOT(ISERROR(N28)),NOT(ISERROR(O28))),AND(ISBLANK(N28)=ISBLANK(O28),N28=O28))),1,"ERR!")</f>
        <v>1</v>
      </c>
      <c r="Q28">
        <v>1</v>
      </c>
      <c r="S28" t="s">
        <v>225</v>
      </c>
      <c r="T28" s="5" t="s">
        <v>695</v>
      </c>
      <c r="U28">
        <f>((((11))))</f>
        <v>11</v>
      </c>
      <c r="V28">
        <v>11</v>
      </c>
      <c r="W28" s="49">
        <f t="shared" si="4"/>
        <v>1</v>
      </c>
    </row>
    <row r="29" spans="1:23">
      <c r="A29" t="s">
        <v>42</v>
      </c>
      <c r="B29" s="5" t="s">
        <v>43</v>
      </c>
      <c r="C29">
        <f>+(2)</f>
        <v>2</v>
      </c>
      <c r="D29">
        <v>2</v>
      </c>
      <c r="E29" s="49">
        <f t="shared" si="5"/>
        <v>1</v>
      </c>
      <c r="G29" s="5" t="s">
        <v>99</v>
      </c>
      <c r="H29" s="5">
        <f>2^3*4+5</f>
        <v>37</v>
      </c>
      <c r="I29">
        <v>37</v>
      </c>
      <c r="J29" s="49">
        <f t="shared" si="0"/>
        <v>1</v>
      </c>
      <c r="L29" t="s">
        <v>167</v>
      </c>
      <c r="M29" s="5" t="s">
        <v>168</v>
      </c>
      <c r="N29">
        <f>SUM(Q27:Q29 Q28:Q30)</f>
        <v>2</v>
      </c>
      <c r="O29">
        <v>2</v>
      </c>
      <c r="P29" s="49">
        <f t="shared" si="6"/>
        <v>1</v>
      </c>
      <c r="Q29">
        <v>1</v>
      </c>
    </row>
    <row r="30" spans="1:23" ht="15.75">
      <c r="A30" t="s">
        <v>44</v>
      </c>
      <c r="B30" s="5" t="s">
        <v>45</v>
      </c>
      <c r="C30">
        <f>-(3)</f>
        <v>-3</v>
      </c>
      <c r="D30">
        <v>-3</v>
      </c>
      <c r="E30" s="49">
        <f t="shared" si="5"/>
        <v>1</v>
      </c>
      <c r="G30" s="5" t="s">
        <v>100</v>
      </c>
      <c r="H30" s="5">
        <f>2^3*(4+5)</f>
        <v>72</v>
      </c>
      <c r="I30">
        <v>72</v>
      </c>
      <c r="J30" s="49">
        <f t="shared" si="0"/>
        <v>1</v>
      </c>
      <c r="L30" t="s">
        <v>169</v>
      </c>
      <c r="M30" s="5" t="s">
        <v>170</v>
      </c>
      <c r="N30" s="5">
        <f>SUM(Q27:Q29:Q28:Q30)</f>
        <v>4</v>
      </c>
      <c r="O30">
        <v>4</v>
      </c>
      <c r="P30" s="49">
        <f t="shared" si="6"/>
        <v>1</v>
      </c>
      <c r="Q30">
        <v>1</v>
      </c>
      <c r="S30" s="3" t="s">
        <v>676</v>
      </c>
      <c r="T30" s="3"/>
      <c r="U30" s="3"/>
      <c r="V30" s="3"/>
      <c r="W30" s="3"/>
    </row>
    <row r="31" spans="1:23">
      <c r="A31" t="s">
        <v>46</v>
      </c>
      <c r="B31" s="5" t="s">
        <v>47</v>
      </c>
      <c r="C31">
        <f>4%</f>
        <v>0.04</v>
      </c>
      <c r="D31">
        <v>0.04</v>
      </c>
      <c r="E31" s="49">
        <f t="shared" si="5"/>
        <v>1</v>
      </c>
      <c r="G31" s="5" t="s">
        <v>101</v>
      </c>
      <c r="H31" s="5">
        <f>2^(3*4)+5</f>
        <v>4101</v>
      </c>
      <c r="I31">
        <v>4101</v>
      </c>
      <c r="J31" s="49">
        <f t="shared" si="0"/>
        <v>1</v>
      </c>
      <c r="S31" s="4" t="s">
        <v>3</v>
      </c>
      <c r="T31" s="4" t="s">
        <v>4</v>
      </c>
      <c r="U31" s="4" t="s">
        <v>5</v>
      </c>
      <c r="V31" s="4" t="s">
        <v>6</v>
      </c>
      <c r="W31" s="4" t="s">
        <v>7</v>
      </c>
    </row>
    <row r="32" spans="1:23" ht="15.75">
      <c r="G32" s="5" t="s">
        <v>102</v>
      </c>
      <c r="H32" s="5">
        <f>(2^3)*4+5</f>
        <v>37</v>
      </c>
      <c r="I32">
        <v>37</v>
      </c>
      <c r="J32" s="49">
        <f t="shared" si="0"/>
        <v>1</v>
      </c>
      <c r="L32" s="3" t="s">
        <v>171</v>
      </c>
      <c r="M32" s="3"/>
      <c r="N32" s="3"/>
      <c r="O32" s="3"/>
      <c r="P32" s="3"/>
      <c r="Q32" s="3"/>
      <c r="S32" t="s">
        <v>211</v>
      </c>
      <c r="T32" s="5" t="s">
        <v>679</v>
      </c>
      <c r="U32" s="5">
        <f xml:space="preserve">  1</f>
        <v>1</v>
      </c>
      <c r="V32">
        <v>1</v>
      </c>
      <c r="W32" s="49">
        <f t="shared" ref="W32:W36" si="7">IF(IF(AND(ISERROR(U32),ISERROR(V32)),ERROR.TYPE(U32)=ERROR.TYPE(V32),IF(AND(NOT(ISERROR(U32)),NOT(ISERROR(V32))),AND(ISBLANK(U32)=ISBLANK(V32),U32=V32))),1,"ERR!")</f>
        <v>1</v>
      </c>
    </row>
    <row r="33" spans="1:23" ht="15.75">
      <c r="A33" s="3" t="s">
        <v>49</v>
      </c>
      <c r="B33" s="3"/>
      <c r="C33" s="3"/>
      <c r="D33" s="3"/>
      <c r="E33" s="3"/>
      <c r="G33" s="5" t="s">
        <v>103</v>
      </c>
      <c r="H33" s="5">
        <f>2^(3*4+5)</f>
        <v>131072</v>
      </c>
      <c r="I33">
        <v>131072</v>
      </c>
      <c r="J33" s="49">
        <f t="shared" si="0"/>
        <v>1</v>
      </c>
      <c r="L33" s="4" t="s">
        <v>3</v>
      </c>
      <c r="M33" s="4" t="s">
        <v>4</v>
      </c>
      <c r="N33" s="4" t="s">
        <v>5</v>
      </c>
      <c r="O33" s="4" t="s">
        <v>6</v>
      </c>
      <c r="P33" s="4" t="s">
        <v>7</v>
      </c>
      <c r="Q33" s="4"/>
      <c r="S33" t="s">
        <v>212</v>
      </c>
      <c r="T33" s="5" t="s">
        <v>678</v>
      </c>
      <c r="U33" s="5">
        <f xml:space="preserve">  {2}</f>
        <v>2</v>
      </c>
      <c r="V33">
        <v>2</v>
      </c>
      <c r="W33" s="49">
        <f t="shared" si="7"/>
        <v>1</v>
      </c>
    </row>
    <row r="34" spans="1:23">
      <c r="A34" s="4" t="s">
        <v>3</v>
      </c>
      <c r="B34" s="4" t="s">
        <v>4</v>
      </c>
      <c r="C34" s="4" t="s">
        <v>5</v>
      </c>
      <c r="D34" s="4" t="s">
        <v>6</v>
      </c>
      <c r="E34" s="4" t="s">
        <v>7</v>
      </c>
      <c r="G34" s="5" t="s">
        <v>104</v>
      </c>
      <c r="H34" s="5">
        <f>2^(3*(4+5))</f>
        <v>134217728</v>
      </c>
      <c r="I34">
        <v>134217728</v>
      </c>
      <c r="J34" s="49">
        <f t="shared" si="0"/>
        <v>1</v>
      </c>
      <c r="L34" s="5" t="s">
        <v>172</v>
      </c>
      <c r="N34">
        <f>SUM((Q34:Q36:Q35:Q37 Q36:Q38,Q37:Q39))</f>
        <v>22</v>
      </c>
      <c r="O34">
        <v>22</v>
      </c>
      <c r="P34" s="49">
        <f t="shared" ref="P34:P48" si="8">IF(IF(AND(ISERROR(N34),ISERROR(O34)),ERROR.TYPE(N34)=ERROR.TYPE(O34),IF(AND(NOT(ISERROR(N34)),NOT(ISERROR(O34))),AND(ISBLANK(N34)=ISBLANK(O34),N34=O34))),1,"ERR!")</f>
        <v>1</v>
      </c>
      <c r="Q34">
        <v>1</v>
      </c>
      <c r="S34" t="s">
        <v>214</v>
      </c>
      <c r="T34" s="5" t="s">
        <v>680</v>
      </c>
      <c r="U34" s="5">
        <f xml:space="preserve">  +(3)</f>
        <v>3</v>
      </c>
      <c r="V34">
        <v>3</v>
      </c>
      <c r="W34" s="49">
        <f t="shared" si="7"/>
        <v>1</v>
      </c>
    </row>
    <row r="35" spans="1:23">
      <c r="A35" t="s">
        <v>50</v>
      </c>
      <c r="B35" s="5" t="s">
        <v>51</v>
      </c>
      <c r="C35">
        <f>3+2</f>
        <v>5</v>
      </c>
      <c r="D35">
        <v>5</v>
      </c>
      <c r="E35" s="49">
        <f t="shared" ref="E35:E40" si="9">IF(IF(AND(ISERROR(C35),ISERROR(D35)),ERROR.TYPE(C35)=ERROR.TYPE(D35),IF(AND(NOT(ISERROR(C35)),NOT(ISERROR(D35))),AND(ISBLANK(C35)=ISBLANK(D35),C35=D35))),1,"ERR!")</f>
        <v>1</v>
      </c>
      <c r="G35" s="5" t="s">
        <v>105</v>
      </c>
      <c r="H35" s="5">
        <f>2^((3*4)+5)</f>
        <v>131072</v>
      </c>
      <c r="I35">
        <v>131072</v>
      </c>
      <c r="J35" s="49">
        <f t="shared" si="0"/>
        <v>1</v>
      </c>
      <c r="L35" s="5" t="s">
        <v>173</v>
      </c>
      <c r="N35">
        <f>SUM(((Q34:Q36:Q35:Q37) Q36:Q38,Q37:Q39))</f>
        <v>22</v>
      </c>
      <c r="O35">
        <v>22</v>
      </c>
      <c r="P35" s="49">
        <f t="shared" si="8"/>
        <v>1</v>
      </c>
      <c r="Q35">
        <v>2</v>
      </c>
      <c r="S35" t="s">
        <v>216</v>
      </c>
      <c r="T35" s="5" t="s">
        <v>681</v>
      </c>
      <c r="U35" s="5">
        <f>400  %</f>
        <v>4</v>
      </c>
      <c r="V35">
        <v>4</v>
      </c>
      <c r="W35" s="49">
        <f t="shared" si="7"/>
        <v>1</v>
      </c>
    </row>
    <row r="36" spans="1:23">
      <c r="A36" t="s">
        <v>52</v>
      </c>
      <c r="B36" s="5" t="s">
        <v>53</v>
      </c>
      <c r="C36">
        <f>3-2</f>
        <v>1</v>
      </c>
      <c r="D36">
        <v>1</v>
      </c>
      <c r="E36" s="49">
        <f t="shared" si="9"/>
        <v>1</v>
      </c>
      <c r="G36" s="5" t="s">
        <v>106</v>
      </c>
      <c r="H36" s="5">
        <f>(2^3*4)+5</f>
        <v>37</v>
      </c>
      <c r="I36">
        <v>37</v>
      </c>
      <c r="J36" s="49">
        <f t="shared" si="0"/>
        <v>1</v>
      </c>
      <c r="L36" s="5" t="s">
        <v>174</v>
      </c>
      <c r="N36">
        <f>SUM((Q34:Q36:(Q35:Q37 Q36:Q38),Q37:Q39))</f>
        <v>25</v>
      </c>
      <c r="O36">
        <v>25</v>
      </c>
      <c r="P36" s="49">
        <f t="shared" si="8"/>
        <v>1</v>
      </c>
      <c r="Q36">
        <v>3</v>
      </c>
      <c r="S36" t="s">
        <v>217</v>
      </c>
      <c r="T36" s="5" t="s">
        <v>682</v>
      </c>
      <c r="U36" s="5">
        <f>2  +3</f>
        <v>5</v>
      </c>
      <c r="V36">
        <v>5</v>
      </c>
      <c r="W36" s="49">
        <f t="shared" si="7"/>
        <v>1</v>
      </c>
    </row>
    <row r="37" spans="1:23">
      <c r="A37" t="s">
        <v>54</v>
      </c>
      <c r="B37" s="5" t="s">
        <v>55</v>
      </c>
      <c r="C37">
        <f>3*2</f>
        <v>6</v>
      </c>
      <c r="D37">
        <v>6</v>
      </c>
      <c r="E37" s="49">
        <f t="shared" si="9"/>
        <v>1</v>
      </c>
      <c r="G37" s="5" t="s">
        <v>107</v>
      </c>
      <c r="H37" s="5">
        <f>(2^(3*4))+5</f>
        <v>4101</v>
      </c>
      <c r="I37">
        <v>4101</v>
      </c>
      <c r="J37" s="49">
        <f t="shared" si="0"/>
        <v>1</v>
      </c>
      <c r="L37" s="5" t="s">
        <v>175</v>
      </c>
      <c r="N37">
        <f>SUM((Q34:Q36:Q35:Q37 (Q36:Q38,Q37:Q39)))</f>
        <v>11</v>
      </c>
      <c r="O37">
        <v>11</v>
      </c>
      <c r="P37" s="49">
        <f t="shared" si="8"/>
        <v>1</v>
      </c>
      <c r="Q37">
        <v>4</v>
      </c>
      <c r="S37" t="s">
        <v>218</v>
      </c>
      <c r="T37" s="5" t="s">
        <v>683</v>
      </c>
      <c r="U37" s="5">
        <f xml:space="preserve">  PI(  )</f>
        <v>3.1415926535897931</v>
      </c>
      <c r="V37">
        <v>3.1415926535897931</v>
      </c>
      <c r="W37" s="49">
        <f t="shared" ref="W37:W48" si="10">IF(IF(AND(ISERROR(U37),ISERROR(V37)),ERROR.TYPE(U37)=ERROR.TYPE(V37),IF(AND(NOT(ISERROR(U37)),NOT(ISERROR(V37))),AND(ISBLANK(U37)=ISBLANK(V37),U37=V37))),1,"ERR!")</f>
        <v>1</v>
      </c>
    </row>
    <row r="38" spans="1:23">
      <c r="A38" t="s">
        <v>56</v>
      </c>
      <c r="B38" s="5" t="s">
        <v>57</v>
      </c>
      <c r="C38">
        <f>3/2</f>
        <v>1.5</v>
      </c>
      <c r="D38">
        <v>1.5</v>
      </c>
      <c r="E38" s="49">
        <f t="shared" si="9"/>
        <v>1</v>
      </c>
      <c r="G38" s="5" t="s">
        <v>108</v>
      </c>
      <c r="H38" s="5">
        <f>((2^3)*4)+5</f>
        <v>37</v>
      </c>
      <c r="I38">
        <v>37</v>
      </c>
      <c r="J38" s="49">
        <f t="shared" si="0"/>
        <v>1</v>
      </c>
      <c r="L38" s="5" t="s">
        <v>176</v>
      </c>
      <c r="N38">
        <f>SUM(((Q34:Q36:Q35:Q37 Q36:Q38),Q37:Q39))</f>
        <v>22</v>
      </c>
      <c r="O38">
        <v>22</v>
      </c>
      <c r="P38" s="49">
        <f t="shared" si="8"/>
        <v>1</v>
      </c>
      <c r="Q38">
        <v>5</v>
      </c>
      <c r="S38" t="s">
        <v>220</v>
      </c>
      <c r="T38" s="5" t="s">
        <v>684</v>
      </c>
      <c r="U38" s="5">
        <f xml:space="preserve">  ABS(  7  )</f>
        <v>7</v>
      </c>
      <c r="V38">
        <v>7</v>
      </c>
      <c r="W38" s="49">
        <f t="shared" si="10"/>
        <v>1</v>
      </c>
    </row>
    <row r="39" spans="1:23">
      <c r="A39" t="s">
        <v>58</v>
      </c>
      <c r="B39" s="5" t="s">
        <v>59</v>
      </c>
      <c r="C39">
        <f>3^2</f>
        <v>9</v>
      </c>
      <c r="D39">
        <v>9</v>
      </c>
      <c r="E39" s="49">
        <f t="shared" si="9"/>
        <v>1</v>
      </c>
      <c r="G39" s="5" t="s">
        <v>109</v>
      </c>
      <c r="H39" s="5">
        <f>5+4*3^2</f>
        <v>41</v>
      </c>
      <c r="I39">
        <v>41</v>
      </c>
      <c r="J39" s="49">
        <f t="shared" si="0"/>
        <v>1</v>
      </c>
      <c r="L39" s="5" t="s">
        <v>177</v>
      </c>
      <c r="N39">
        <f>SUM((Q34:Q36:(Q35:Q37 Q36:Q38,Q37:Q39)))</f>
        <v>21</v>
      </c>
      <c r="O39">
        <v>21</v>
      </c>
      <c r="P39" s="49">
        <f t="shared" si="8"/>
        <v>1</v>
      </c>
      <c r="Q39">
        <v>6</v>
      </c>
      <c r="S39" t="s">
        <v>222</v>
      </c>
      <c r="T39" s="5" t="s">
        <v>685</v>
      </c>
      <c r="U39" s="5">
        <f xml:space="preserve">  SUM(  3,  5  )</f>
        <v>8</v>
      </c>
      <c r="V39">
        <v>8</v>
      </c>
      <c r="W39" s="49">
        <f t="shared" si="10"/>
        <v>1</v>
      </c>
    </row>
    <row r="40" spans="1:23">
      <c r="A40" t="s">
        <v>60</v>
      </c>
      <c r="B40" s="5" t="s">
        <v>61</v>
      </c>
      <c r="C40" t="str">
        <f>"A"&amp;"B"</f>
        <v>AB</v>
      </c>
      <c r="D40" t="s">
        <v>62</v>
      </c>
      <c r="E40" s="49">
        <f t="shared" si="9"/>
        <v>1</v>
      </c>
      <c r="G40" s="5" t="s">
        <v>110</v>
      </c>
      <c r="H40" s="5">
        <f>5+4*(3^2)</f>
        <v>41</v>
      </c>
      <c r="I40">
        <v>41</v>
      </c>
      <c r="J40" s="49">
        <f t="shared" si="0"/>
        <v>1</v>
      </c>
      <c r="L40" s="5" t="s">
        <v>178</v>
      </c>
      <c r="N40">
        <f>SUM((Q40:Q42,Q41:Q43 Q42:Q44:Q43:Q45))</f>
        <v>13</v>
      </c>
      <c r="O40">
        <v>13</v>
      </c>
      <c r="P40" s="49">
        <f t="shared" si="8"/>
        <v>1</v>
      </c>
      <c r="Q40">
        <v>1</v>
      </c>
      <c r="S40" t="s">
        <v>223</v>
      </c>
      <c r="T40" s="5" t="s">
        <v>686</v>
      </c>
      <c r="U40" s="5">
        <f xml:space="preserve">  $V$40</f>
        <v>9</v>
      </c>
      <c r="V40">
        <v>9</v>
      </c>
      <c r="W40" s="49">
        <f t="shared" si="10"/>
        <v>1</v>
      </c>
    </row>
    <row r="41" spans="1:23">
      <c r="G41" s="5" t="s">
        <v>111</v>
      </c>
      <c r="H41" s="5">
        <f>5+(4*3)^2</f>
        <v>149</v>
      </c>
      <c r="I41">
        <v>149</v>
      </c>
      <c r="J41" s="49">
        <f t="shared" si="0"/>
        <v>1</v>
      </c>
      <c r="L41" s="5" t="s">
        <v>179</v>
      </c>
      <c r="N41">
        <f>SUM(((Q40:Q42,Q41:Q43) Q42:Q44:Q43:Q45))</f>
        <v>10</v>
      </c>
      <c r="O41">
        <v>10</v>
      </c>
      <c r="P41" s="49">
        <f t="shared" si="8"/>
        <v>1</v>
      </c>
      <c r="Q41">
        <v>2</v>
      </c>
      <c r="S41" t="s">
        <v>224</v>
      </c>
      <c r="T41" s="5" t="s">
        <v>687</v>
      </c>
      <c r="U41" s="5">
        <f>$V$41   $V$41</f>
        <v>10</v>
      </c>
      <c r="V41">
        <v>10</v>
      </c>
      <c r="W41" s="49">
        <f t="shared" si="10"/>
        <v>1</v>
      </c>
    </row>
    <row r="42" spans="1:23" ht="15.75">
      <c r="A42" s="3" t="s">
        <v>63</v>
      </c>
      <c r="B42" s="3"/>
      <c r="C42" s="3"/>
      <c r="D42" s="3"/>
      <c r="E42" s="3"/>
      <c r="G42" s="5" t="s">
        <v>112</v>
      </c>
      <c r="H42" s="5">
        <f>(5+4)*3^2</f>
        <v>81</v>
      </c>
      <c r="I42">
        <v>81</v>
      </c>
      <c r="J42" s="49">
        <f t="shared" si="0"/>
        <v>1</v>
      </c>
      <c r="L42" s="5" t="s">
        <v>180</v>
      </c>
      <c r="N42">
        <f>SUM((Q40:Q42,(Q41:Q43 Q42):Q43:Q44:Q45))</f>
        <v>24</v>
      </c>
      <c r="O42">
        <v>24</v>
      </c>
      <c r="P42" s="49">
        <f t="shared" si="8"/>
        <v>1</v>
      </c>
      <c r="Q42">
        <v>3</v>
      </c>
      <c r="S42" t="s">
        <v>693</v>
      </c>
      <c r="T42" s="5" t="s">
        <v>694</v>
      </c>
      <c r="U42">
        <f xml:space="preserve">  (  11  )</f>
        <v>11</v>
      </c>
      <c r="V42">
        <v>11</v>
      </c>
      <c r="W42" s="59">
        <f t="shared" si="10"/>
        <v>1</v>
      </c>
    </row>
    <row r="43" spans="1:23">
      <c r="A43" s="4" t="s">
        <v>3</v>
      </c>
      <c r="B43" s="4" t="s">
        <v>4</v>
      </c>
      <c r="C43" s="4" t="s">
        <v>5</v>
      </c>
      <c r="D43" s="4" t="s">
        <v>6</v>
      </c>
      <c r="E43" s="4" t="s">
        <v>7</v>
      </c>
      <c r="G43" s="5" t="s">
        <v>113</v>
      </c>
      <c r="H43" s="5">
        <f>5+(4*3^2)</f>
        <v>41</v>
      </c>
      <c r="I43">
        <v>41</v>
      </c>
      <c r="J43" s="49">
        <f t="shared" si="0"/>
        <v>1</v>
      </c>
      <c r="L43" s="5" t="s">
        <v>181</v>
      </c>
      <c r="N43">
        <f>SUM((Q40:Q42,Q41:Q43 (Q42:Q44:Q43:Q45)))</f>
        <v>13</v>
      </c>
      <c r="O43">
        <v>13</v>
      </c>
      <c r="P43" s="49">
        <f t="shared" si="8"/>
        <v>1</v>
      </c>
      <c r="Q43">
        <v>4</v>
      </c>
      <c r="S43" t="s">
        <v>201</v>
      </c>
      <c r="T43" s="5" t="s">
        <v>202</v>
      </c>
      <c r="U43">
        <f xml:space="preserve"> IF( FALSE, 1 ) +1</f>
        <v>1</v>
      </c>
      <c r="V43">
        <v>1</v>
      </c>
      <c r="W43" s="49">
        <f t="shared" si="10"/>
        <v>1</v>
      </c>
    </row>
    <row r="44" spans="1:23">
      <c r="A44" t="s">
        <v>64</v>
      </c>
      <c r="B44" s="5" t="s">
        <v>65</v>
      </c>
      <c r="C44" t="b">
        <f>3&lt;2</f>
        <v>0</v>
      </c>
      <c r="D44" t="b">
        <v>0</v>
      </c>
      <c r="E44" s="49">
        <f t="shared" ref="E44:E49" si="11">IF(IF(AND(ISERROR(C44),ISERROR(D44)),ERROR.TYPE(C44)=ERROR.TYPE(D44),IF(AND(NOT(ISERROR(C44)),NOT(ISERROR(D44))),AND(ISBLANK(C44)=ISBLANK(D44),C44=D44))),1,"ERR!")</f>
        <v>1</v>
      </c>
      <c r="G44" s="5" t="s">
        <v>114</v>
      </c>
      <c r="H44" s="5">
        <f>5+(4*(3^2))</f>
        <v>41</v>
      </c>
      <c r="I44">
        <v>41</v>
      </c>
      <c r="J44" s="49">
        <f t="shared" si="0"/>
        <v>1</v>
      </c>
      <c r="L44" s="5" t="s">
        <v>182</v>
      </c>
      <c r="N44">
        <f>SUM(((Q40:Q42,Q41:Q43 Q42:Q44):Q43:Q45))</f>
        <v>21</v>
      </c>
      <c r="O44">
        <v>21</v>
      </c>
      <c r="P44" s="49">
        <f t="shared" si="8"/>
        <v>1</v>
      </c>
      <c r="Q44">
        <v>5</v>
      </c>
      <c r="S44" t="s">
        <v>201</v>
      </c>
      <c r="T44" s="5" t="s">
        <v>203</v>
      </c>
      <c r="U44">
        <f xml:space="preserve"> IF( TRUE, 1 ) +1</f>
        <v>2</v>
      </c>
      <c r="V44">
        <v>2</v>
      </c>
      <c r="W44" s="49">
        <f t="shared" si="10"/>
        <v>1</v>
      </c>
    </row>
    <row r="45" spans="1:23">
      <c r="A45" t="s">
        <v>66</v>
      </c>
      <c r="B45" s="5" t="s">
        <v>67</v>
      </c>
      <c r="C45" t="b">
        <f>3&lt;=2</f>
        <v>0</v>
      </c>
      <c r="D45" t="b">
        <v>0</v>
      </c>
      <c r="E45" s="49">
        <f t="shared" si="11"/>
        <v>1</v>
      </c>
      <c r="G45" s="5" t="s">
        <v>115</v>
      </c>
      <c r="H45" s="5">
        <f>5+((4*3)^2)</f>
        <v>149</v>
      </c>
      <c r="I45">
        <v>149</v>
      </c>
      <c r="J45" s="49">
        <f t="shared" si="0"/>
        <v>1</v>
      </c>
      <c r="L45" s="5" t="s">
        <v>183</v>
      </c>
      <c r="N45">
        <f>SUM((Q40:Q42,(Q41:Q43 Q42:Q44:Q43:Q45)))</f>
        <v>13</v>
      </c>
      <c r="O45">
        <v>13</v>
      </c>
      <c r="P45" s="49">
        <f t="shared" si="8"/>
        <v>1</v>
      </c>
      <c r="Q45">
        <v>6</v>
      </c>
      <c r="S45" t="s">
        <v>201</v>
      </c>
      <c r="T45" s="5" t="s">
        <v>675</v>
      </c>
      <c r="U45">
        <f xml:space="preserve"> IF( FALSE, 1, 2 ) +1</f>
        <v>3</v>
      </c>
      <c r="V45">
        <v>3</v>
      </c>
      <c r="W45" s="49">
        <f t="shared" si="10"/>
        <v>1</v>
      </c>
    </row>
    <row r="46" spans="1:23">
      <c r="A46" t="s">
        <v>68</v>
      </c>
      <c r="B46" s="5" t="s">
        <v>69</v>
      </c>
      <c r="C46" t="b">
        <f>3=2</f>
        <v>0</v>
      </c>
      <c r="D46" t="b">
        <v>0</v>
      </c>
      <c r="E46" s="49">
        <f t="shared" si="11"/>
        <v>1</v>
      </c>
      <c r="G46" s="5" t="s">
        <v>116</v>
      </c>
      <c r="H46" s="5">
        <f>(5+4*3)^2</f>
        <v>289</v>
      </c>
      <c r="I46">
        <v>289</v>
      </c>
      <c r="J46" s="49">
        <f t="shared" si="0"/>
        <v>1</v>
      </c>
      <c r="L46" s="5" t="s">
        <v>184</v>
      </c>
      <c r="N46">
        <f>-Q46 Q46</f>
        <v>-1</v>
      </c>
      <c r="O46">
        <v>-1</v>
      </c>
      <c r="P46" s="49">
        <f t="shared" si="8"/>
        <v>1</v>
      </c>
      <c r="Q46">
        <v>1</v>
      </c>
      <c r="S46" t="s">
        <v>201</v>
      </c>
      <c r="T46" s="5" t="s">
        <v>204</v>
      </c>
      <c r="U46">
        <f xml:space="preserve"> IF( TRUE, 1, 2 ) +1</f>
        <v>2</v>
      </c>
      <c r="V46">
        <v>2</v>
      </c>
      <c r="W46" s="49">
        <f t="shared" si="10"/>
        <v>1</v>
      </c>
    </row>
    <row r="47" spans="1:23">
      <c r="A47" t="s">
        <v>70</v>
      </c>
      <c r="B47" s="5" t="s">
        <v>71</v>
      </c>
      <c r="C47" t="b">
        <f>3&gt;=2</f>
        <v>1</v>
      </c>
      <c r="D47" t="b">
        <v>1</v>
      </c>
      <c r="E47" s="49">
        <f t="shared" si="11"/>
        <v>1</v>
      </c>
      <c r="G47" s="5" t="s">
        <v>117</v>
      </c>
      <c r="H47" s="5">
        <f>(5+(4*3))^2</f>
        <v>289</v>
      </c>
      <c r="I47">
        <v>289</v>
      </c>
      <c r="J47" s="49">
        <f t="shared" si="0"/>
        <v>1</v>
      </c>
      <c r="L47" s="5" t="s">
        <v>185</v>
      </c>
      <c r="N47">
        <f>-(Q47):Q47</f>
        <v>-2</v>
      </c>
      <c r="O47">
        <v>-2</v>
      </c>
      <c r="P47" s="49">
        <f t="shared" si="8"/>
        <v>1</v>
      </c>
      <c r="Q47">
        <v>2</v>
      </c>
      <c r="S47" t="s">
        <v>205</v>
      </c>
      <c r="T47" s="5" t="s">
        <v>206</v>
      </c>
      <c r="U47">
        <f xml:space="preserve"> CHOOSE( 1, 2, 3 ) +1</f>
        <v>3</v>
      </c>
      <c r="V47">
        <v>3</v>
      </c>
      <c r="W47" s="49">
        <f t="shared" si="10"/>
        <v>1</v>
      </c>
    </row>
    <row r="48" spans="1:23">
      <c r="A48" t="s">
        <v>72</v>
      </c>
      <c r="B48" s="5" t="s">
        <v>73</v>
      </c>
      <c r="C48" t="b">
        <f>3&gt;2</f>
        <v>1</v>
      </c>
      <c r="D48" t="b">
        <v>1</v>
      </c>
      <c r="E48" s="49">
        <f t="shared" si="11"/>
        <v>1</v>
      </c>
      <c r="G48" s="5" t="s">
        <v>118</v>
      </c>
      <c r="H48" s="5">
        <f>((5+4)*3)^2</f>
        <v>729</v>
      </c>
      <c r="I48">
        <v>729</v>
      </c>
      <c r="J48" s="49">
        <f t="shared" si="0"/>
        <v>1</v>
      </c>
      <c r="L48" s="5" t="s">
        <v>186</v>
      </c>
      <c r="N48">
        <f>-Q48:(Q48)</f>
        <v>-3</v>
      </c>
      <c r="O48">
        <v>-3</v>
      </c>
      <c r="P48" s="49">
        <f t="shared" si="8"/>
        <v>1</v>
      </c>
      <c r="Q48">
        <v>3</v>
      </c>
      <c r="S48" t="s">
        <v>205</v>
      </c>
      <c r="T48" s="5" t="s">
        <v>207</v>
      </c>
      <c r="U48">
        <f xml:space="preserve"> CHOOSE( 2, 2, 3 ) +1</f>
        <v>4</v>
      </c>
      <c r="V48">
        <v>4</v>
      </c>
      <c r="W48" s="49">
        <f t="shared" si="10"/>
        <v>1</v>
      </c>
    </row>
    <row r="49" spans="1:23">
      <c r="A49" t="s">
        <v>74</v>
      </c>
      <c r="B49" s="5" t="s">
        <v>75</v>
      </c>
      <c r="C49" t="b">
        <f>3&lt;&gt;2</f>
        <v>1</v>
      </c>
      <c r="D49" t="b">
        <v>1</v>
      </c>
      <c r="E49" s="49">
        <f t="shared" si="11"/>
        <v>1</v>
      </c>
      <c r="G49" s="5" t="s">
        <v>119</v>
      </c>
      <c r="H49" s="5">
        <f>2^3/4-5</f>
        <v>-3</v>
      </c>
      <c r="I49">
        <v>-3</v>
      </c>
      <c r="J49" s="49">
        <f t="shared" si="0"/>
        <v>1</v>
      </c>
      <c r="S49" t="s">
        <v>205</v>
      </c>
      <c r="T49" s="5" t="s">
        <v>208</v>
      </c>
      <c r="U49" t="e">
        <f xml:space="preserve"> CHOOSE( 3, 2, 3 ) +1</f>
        <v>#VALUE!</v>
      </c>
      <c r="V49" t="e">
        <v>#VALUE!</v>
      </c>
      <c r="W49" s="49">
        <f>IF(IF(AND(ISERROR(U49),ISERROR(V49)),TRUE,IF(AND(NOT(ISERROR(U49)),NOT(ISERROR(V49))),AND(ISBLANK(U49)=ISBLANK(V49),U49=V49))),1,"ERR!")</f>
        <v>1</v>
      </c>
    </row>
    <row r="50" spans="1:23">
      <c r="G50" s="5" t="s">
        <v>120</v>
      </c>
      <c r="H50" s="5">
        <f>5-3/4^2</f>
        <v>4.8125</v>
      </c>
      <c r="I50">
        <v>4.8125</v>
      </c>
      <c r="J50" s="49">
        <f t="shared" si="0"/>
        <v>1</v>
      </c>
    </row>
    <row r="51" spans="1:23">
      <c r="G51" s="5" t="s">
        <v>121</v>
      </c>
      <c r="H51" s="5" t="str">
        <f>2+3&amp;7</f>
        <v>57</v>
      </c>
      <c r="I51" t="s">
        <v>122</v>
      </c>
      <c r="J51" s="49">
        <f t="shared" si="0"/>
        <v>1</v>
      </c>
    </row>
    <row r="52" spans="1:23">
      <c r="G52" s="5" t="s">
        <v>123</v>
      </c>
      <c r="H52" s="5">
        <f>2+(3&amp;7)</f>
        <v>39</v>
      </c>
      <c r="I52">
        <v>39</v>
      </c>
      <c r="J52" s="49">
        <f t="shared" si="0"/>
        <v>1</v>
      </c>
    </row>
    <row r="53" spans="1:23">
      <c r="G53" s="5" t="s">
        <v>124</v>
      </c>
      <c r="H53" s="5" t="str">
        <f>(2+3)&amp;7</f>
        <v>57</v>
      </c>
      <c r="I53" t="s">
        <v>122</v>
      </c>
      <c r="J53" s="49">
        <f t="shared" si="0"/>
        <v>1</v>
      </c>
    </row>
    <row r="54" spans="1:23">
      <c r="G54" s="5" t="s">
        <v>125</v>
      </c>
      <c r="H54" s="5" t="b">
        <f>2+3=7</f>
        <v>0</v>
      </c>
      <c r="I54" t="b">
        <v>0</v>
      </c>
      <c r="J54" s="49">
        <f t="shared" si="0"/>
        <v>1</v>
      </c>
    </row>
    <row r="55" spans="1:23">
      <c r="G55" s="5" t="s">
        <v>126</v>
      </c>
      <c r="H55" s="5">
        <f>2+(3=7)</f>
        <v>2</v>
      </c>
      <c r="I55">
        <v>2</v>
      </c>
      <c r="J55" s="49">
        <f t="shared" si="0"/>
        <v>1</v>
      </c>
    </row>
    <row r="56" spans="1:23">
      <c r="G56" s="5" t="s">
        <v>127</v>
      </c>
      <c r="H56" s="5" t="b">
        <f>(2+3)=7</f>
        <v>0</v>
      </c>
      <c r="I56" t="b">
        <v>0</v>
      </c>
      <c r="J56" s="49">
        <f t="shared" si="0"/>
        <v>1</v>
      </c>
    </row>
    <row r="57" spans="1:23">
      <c r="G57" s="5" t="s">
        <v>128</v>
      </c>
      <c r="H57" s="5">
        <f>-(3)+2</f>
        <v>-1</v>
      </c>
      <c r="I57">
        <v>-1</v>
      </c>
      <c r="J57" s="49">
        <f t="shared" si="0"/>
        <v>1</v>
      </c>
    </row>
    <row r="58" spans="1:23">
      <c r="G58" s="5" t="s">
        <v>129</v>
      </c>
      <c r="H58" s="5">
        <f>-(3+2)</f>
        <v>-5</v>
      </c>
      <c r="I58">
        <v>-5</v>
      </c>
      <c r="J58" s="49">
        <f t="shared" si="0"/>
        <v>1</v>
      </c>
    </row>
    <row r="59" spans="1:23">
      <c r="G59" s="5" t="s">
        <v>130</v>
      </c>
      <c r="H59" s="5">
        <f>-(3)+-(2)</f>
        <v>-5</v>
      </c>
      <c r="I59">
        <v>-5</v>
      </c>
      <c r="J59" s="49">
        <f t="shared" si="0"/>
        <v>1</v>
      </c>
    </row>
    <row r="60" spans="1:23">
      <c r="G60" s="5" t="s">
        <v>131</v>
      </c>
      <c r="H60" s="5">
        <f>-(3)*2</f>
        <v>-6</v>
      </c>
      <c r="I60">
        <v>-6</v>
      </c>
      <c r="J60" s="49">
        <f t="shared" si="0"/>
        <v>1</v>
      </c>
    </row>
    <row r="61" spans="1:23">
      <c r="G61" s="5" t="s">
        <v>132</v>
      </c>
      <c r="H61" s="5">
        <f>-(3*2)</f>
        <v>-6</v>
      </c>
      <c r="I61">
        <v>-6</v>
      </c>
      <c r="J61" s="49">
        <f t="shared" si="0"/>
        <v>1</v>
      </c>
    </row>
    <row r="62" spans="1:23">
      <c r="G62" s="5" t="s">
        <v>133</v>
      </c>
      <c r="H62" s="5">
        <f>-(3)*-(2)</f>
        <v>6</v>
      </c>
      <c r="I62">
        <v>6</v>
      </c>
      <c r="J62" s="49">
        <f t="shared" si="0"/>
        <v>1</v>
      </c>
    </row>
    <row r="63" spans="1:23">
      <c r="G63" s="5" t="s">
        <v>134</v>
      </c>
      <c r="H63" s="5">
        <f>-(3)^2</f>
        <v>9</v>
      </c>
      <c r="I63">
        <v>9</v>
      </c>
      <c r="J63" s="49">
        <f t="shared" si="0"/>
        <v>1</v>
      </c>
    </row>
    <row r="64" spans="1:23">
      <c r="G64" s="5" t="s">
        <v>135</v>
      </c>
      <c r="H64" s="5">
        <f>-(3^2)</f>
        <v>-9</v>
      </c>
      <c r="I64">
        <v>-9</v>
      </c>
      <c r="J64" s="49">
        <f t="shared" si="0"/>
        <v>1</v>
      </c>
    </row>
    <row r="65" spans="7:10">
      <c r="G65" s="5" t="s">
        <v>136</v>
      </c>
      <c r="H65" s="5">
        <f>-(2)^-(2)</f>
        <v>0.25</v>
      </c>
      <c r="I65">
        <v>0.25</v>
      </c>
      <c r="J65" s="49">
        <f t="shared" si="0"/>
        <v>1</v>
      </c>
    </row>
    <row r="66" spans="7:10">
      <c r="G66" s="6" t="s">
        <v>137</v>
      </c>
      <c r="H66" s="7">
        <f>50%^200%</f>
        <v>0.25</v>
      </c>
      <c r="I66" s="7">
        <v>0.25</v>
      </c>
      <c r="J66" s="49">
        <f t="shared" si="0"/>
        <v>1</v>
      </c>
    </row>
    <row r="67" spans="7:10">
      <c r="G67" s="6" t="s">
        <v>138</v>
      </c>
      <c r="H67">
        <f>-(50)%^-(200)%</f>
        <v>4</v>
      </c>
      <c r="I67">
        <v>4</v>
      </c>
      <c r="J67" s="49">
        <f t="shared" si="0"/>
        <v>1</v>
      </c>
    </row>
    <row r="68" spans="7:10">
      <c r="G68" s="6" t="s">
        <v>139</v>
      </c>
      <c r="H68" s="6">
        <f>--50%^--200%</f>
        <v>0.25</v>
      </c>
      <c r="I68" s="7">
        <v>0.25</v>
      </c>
      <c r="J68" s="49">
        <f t="shared" si="0"/>
        <v>1</v>
      </c>
    </row>
    <row r="69" spans="7:10">
      <c r="G69" s="5" t="s">
        <v>140</v>
      </c>
      <c r="H69">
        <f>---(10000)%%%</f>
        <v>-0.01</v>
      </c>
      <c r="I69">
        <v>-0.01</v>
      </c>
      <c r="J69" s="49">
        <f t="shared" si="0"/>
        <v>1</v>
      </c>
    </row>
    <row r="70" spans="7:10">
      <c r="G70" s="5" t="s">
        <v>141</v>
      </c>
      <c r="H70">
        <f>-+-+-+(1)</f>
        <v>-1</v>
      </c>
      <c r="I70">
        <v>-1</v>
      </c>
      <c r="J70" s="49">
        <f t="shared" si="0"/>
        <v>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W40"/>
  <sheetViews>
    <sheetView workbookViewId="0"/>
  </sheetViews>
  <sheetFormatPr defaultRowHeight="15"/>
  <cols>
    <col min="1" max="3" width="10.85546875" customWidth="1"/>
    <col min="4" max="4" width="10.7109375" customWidth="1"/>
    <col min="5" max="5" width="5.7109375" customWidth="1"/>
    <col min="6" max="6" width="50.7109375" customWidth="1"/>
    <col min="7" max="8" width="8.7109375" customWidth="1"/>
    <col min="9" max="10" width="5.7109375" customWidth="1"/>
    <col min="11" max="11" width="45.7109375" customWidth="1"/>
    <col min="12" max="23" width="5.7109375" customWidth="1"/>
  </cols>
  <sheetData>
    <row r="1" spans="1:23" ht="22.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3" spans="1:23" ht="18">
      <c r="A3" s="2" t="s">
        <v>640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5" spans="1:23" ht="15.75">
      <c r="A5" t="s">
        <v>641</v>
      </c>
      <c r="B5" t="s">
        <v>672</v>
      </c>
      <c r="C5" t="s">
        <v>669</v>
      </c>
      <c r="D5" t="s">
        <v>643</v>
      </c>
      <c r="F5" s="3" t="s">
        <v>709</v>
      </c>
      <c r="G5" s="3"/>
      <c r="H5" s="3"/>
      <c r="I5" s="3"/>
      <c r="K5" s="3" t="s">
        <v>738</v>
      </c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>
      <c r="A6">
        <v>1</v>
      </c>
      <c r="B6">
        <v>2</v>
      </c>
      <c r="C6">
        <v>3</v>
      </c>
      <c r="D6" s="11">
        <f>[Head1]+[Head''2]</f>
        <v>3</v>
      </c>
      <c r="F6" s="4" t="s">
        <v>4</v>
      </c>
      <c r="G6" s="4" t="s">
        <v>5</v>
      </c>
      <c r="H6" s="4" t="s">
        <v>6</v>
      </c>
      <c r="I6" s="4" t="s">
        <v>7</v>
      </c>
      <c r="K6" s="4" t="s">
        <v>726</v>
      </c>
      <c r="L6" s="4" t="s">
        <v>5</v>
      </c>
      <c r="M6" s="4"/>
      <c r="N6" s="4"/>
      <c r="O6" s="4"/>
      <c r="P6" s="4" t="s">
        <v>6</v>
      </c>
      <c r="Q6" s="4"/>
      <c r="R6" s="4"/>
      <c r="S6" s="4"/>
      <c r="T6" s="4" t="s">
        <v>7</v>
      </c>
      <c r="U6" s="4"/>
      <c r="V6" s="4"/>
      <c r="W6" s="4"/>
    </row>
    <row r="7" spans="1:23">
      <c r="A7">
        <v>2</v>
      </c>
      <c r="B7">
        <v>3</v>
      </c>
      <c r="C7">
        <v>4</v>
      </c>
      <c r="D7" s="11">
        <f>[Head1]+[Head''2]</f>
        <v>5</v>
      </c>
      <c r="F7" s="5" t="s">
        <v>642</v>
      </c>
      <c r="G7">
        <f>table[Head1]</f>
        <v>2</v>
      </c>
      <c r="H7">
        <v>2</v>
      </c>
      <c r="I7" s="49">
        <f>IF(IF(AND(ISERROR(G7),ISERROR(H7)),ERROR.TYPE(G7)=ERROR.TYPE(H7),IF(AND(NOT(ISERROR(G7)),NOT(ISERROR(H7))),AND(ISBLANK(G7)=ISBLANK(H7),G7=H7))),1,"ERR!")</f>
        <v>1</v>
      </c>
      <c r="K7" t="s">
        <v>727</v>
      </c>
      <c r="L7" s="69">
        <f>ROW(table[])</f>
        <v>6</v>
      </c>
      <c r="M7" s="70">
        <f>COLUMN(table[])</f>
        <v>1</v>
      </c>
      <c r="N7" s="70">
        <f>ROWS(table[])</f>
        <v>12</v>
      </c>
      <c r="O7" s="71">
        <f>COLUMNS(table[])</f>
        <v>4</v>
      </c>
      <c r="P7" s="19">
        <v>6</v>
      </c>
      <c r="Q7" s="20">
        <v>1</v>
      </c>
      <c r="R7" s="20">
        <v>12</v>
      </c>
      <c r="S7" s="21">
        <v>4</v>
      </c>
      <c r="T7" s="50">
        <f>IF(IF(AND(ISERROR(L7),ISERROR(P7)),ERROR.TYPE(L7)=ERROR.TYPE(P7),IF(AND(NOT(ISERROR(L7)),NOT(ISERROR(P7))),AND(ISBLANK(L7)=ISBLANK(P7),L7=P7))),1,"ERR!")</f>
        <v>1</v>
      </c>
      <c r="U7" s="54">
        <f t="shared" ref="U7:U13" si="0">IF(IF(AND(ISERROR(M7),ISERROR(Q7)),ERROR.TYPE(M7)=ERROR.TYPE(Q7),IF(AND(NOT(ISERROR(M7)),NOT(ISERROR(Q7))),AND(ISBLANK(M7)=ISBLANK(Q7),M7=Q7))),1,"ERR!")</f>
        <v>1</v>
      </c>
      <c r="V7" s="54">
        <f t="shared" ref="V7:V13" si="1">IF(IF(AND(ISERROR(N7),ISERROR(R7)),ERROR.TYPE(N7)=ERROR.TYPE(R7),IF(AND(NOT(ISERROR(N7)),NOT(ISERROR(R7))),AND(ISBLANK(N7)=ISBLANK(R7),N7=R7))),1,"ERR!")</f>
        <v>1</v>
      </c>
      <c r="W7" s="51">
        <f t="shared" ref="W7:W13" si="2">IF(IF(AND(ISERROR(O7),ISERROR(S7)),ERROR.TYPE(O7)=ERROR.TYPE(S7),IF(AND(NOT(ISERROR(O7)),NOT(ISERROR(S7))),AND(ISBLANK(O7)=ISBLANK(S7),O7=S7))),1,"ERR!")</f>
        <v>1</v>
      </c>
    </row>
    <row r="8" spans="1:23">
      <c r="A8">
        <v>3</v>
      </c>
      <c r="B8">
        <v>4</v>
      </c>
      <c r="C8">
        <v>5</v>
      </c>
      <c r="D8" s="11">
        <f>[Head1]+[Head''2]</f>
        <v>7</v>
      </c>
      <c r="F8" s="5" t="s">
        <v>673</v>
      </c>
      <c r="G8" s="5">
        <f>SUM(table[Head''2])</f>
        <v>90</v>
      </c>
      <c r="H8">
        <v>90</v>
      </c>
      <c r="I8" s="49">
        <f t="shared" ref="I8" si="3">IF(IF(AND(ISERROR(G8),ISERROR(H8)),ERROR.TYPE(G8)=ERROR.TYPE(H8),IF(AND(NOT(ISERROR(G8)),NOT(ISERROR(H8))),AND(ISBLANK(G8)=ISBLANK(H8),G8=H8))),1,"ERR!")</f>
        <v>1</v>
      </c>
      <c r="K8" t="s">
        <v>730</v>
      </c>
      <c r="L8" s="72">
        <f>ROW(table[#Headers])</f>
        <v>5</v>
      </c>
      <c r="M8" s="73">
        <f>COLUMN(table[#Headers])</f>
        <v>1</v>
      </c>
      <c r="N8" s="73">
        <f>ROWS(table[#Headers])</f>
        <v>1</v>
      </c>
      <c r="O8" s="74">
        <f>COLUMNS(table[#Headers])</f>
        <v>4</v>
      </c>
      <c r="P8" s="22">
        <v>5</v>
      </c>
      <c r="Q8" s="23">
        <v>1</v>
      </c>
      <c r="R8" s="23">
        <v>1</v>
      </c>
      <c r="S8" s="24">
        <v>4</v>
      </c>
      <c r="T8" s="55">
        <f t="shared" ref="T8:T13" si="4">IF(IF(AND(ISERROR(L8),ISERROR(P8)),ERROR.TYPE(L8)=ERROR.TYPE(P8),IF(AND(NOT(ISERROR(L8)),NOT(ISERROR(P8))),AND(ISBLANK(L8)=ISBLANK(P8),L8=P8))),1,"ERR!")</f>
        <v>1</v>
      </c>
      <c r="U8" s="56">
        <f t="shared" si="0"/>
        <v>1</v>
      </c>
      <c r="V8" s="56">
        <f t="shared" si="1"/>
        <v>1</v>
      </c>
      <c r="W8" s="57">
        <f t="shared" si="2"/>
        <v>1</v>
      </c>
    </row>
    <row r="9" spans="1:23">
      <c r="A9">
        <v>4</v>
      </c>
      <c r="B9">
        <v>5</v>
      </c>
      <c r="C9">
        <v>6</v>
      </c>
      <c r="D9" s="11">
        <f>[Head1]+[Head''2]</f>
        <v>9</v>
      </c>
      <c r="F9" s="5" t="s">
        <v>670</v>
      </c>
      <c r="G9" s="5">
        <f>SUM(table[['#Head3]:[Calced]])</f>
        <v>270</v>
      </c>
      <c r="H9">
        <v>270</v>
      </c>
      <c r="I9" s="49">
        <f>IF(IF(AND(ISERROR(G9),ISERROR(H9)),ERROR.TYPE(G9)=ERROR.TYPE(H9),IF(AND(NOT(ISERROR(G9)),NOT(ISERROR(H9))),AND(ISBLANK(G9)=ISBLANK(H9),G9=H9))),1,"ERR!")</f>
        <v>1</v>
      </c>
      <c r="K9" t="s">
        <v>729</v>
      </c>
      <c r="L9" s="72">
        <f>ROW(table[#Data])</f>
        <v>6</v>
      </c>
      <c r="M9" s="73">
        <f>COLUMN(table[#Data])</f>
        <v>1</v>
      </c>
      <c r="N9" s="73">
        <f>ROWS(table[#Data])</f>
        <v>12</v>
      </c>
      <c r="O9" s="74">
        <f>COLUMNS(table[#Data])</f>
        <v>4</v>
      </c>
      <c r="P9" s="22">
        <v>6</v>
      </c>
      <c r="Q9" s="23">
        <v>1</v>
      </c>
      <c r="R9" s="23">
        <v>12</v>
      </c>
      <c r="S9" s="24">
        <v>4</v>
      </c>
      <c r="T9" s="55">
        <f t="shared" si="4"/>
        <v>1</v>
      </c>
      <c r="U9" s="56">
        <f t="shared" si="0"/>
        <v>1</v>
      </c>
      <c r="V9" s="56">
        <f t="shared" si="1"/>
        <v>1</v>
      </c>
      <c r="W9" s="57">
        <f t="shared" si="2"/>
        <v>1</v>
      </c>
    </row>
    <row r="10" spans="1:23">
      <c r="A10">
        <v>5</v>
      </c>
      <c r="B10">
        <v>6</v>
      </c>
      <c r="C10">
        <v>7</v>
      </c>
      <c r="D10" s="11">
        <f>[Head1]+[Head''2]</f>
        <v>11</v>
      </c>
      <c r="F10" s="5"/>
      <c r="G10" s="5"/>
      <c r="I10" s="49"/>
      <c r="K10" t="s">
        <v>728</v>
      </c>
      <c r="L10" s="72">
        <f>ROW(table[#Totals])</f>
        <v>18</v>
      </c>
      <c r="M10" s="73">
        <f>COLUMN(table[#Totals])</f>
        <v>1</v>
      </c>
      <c r="N10" s="73">
        <f>ROWS(table[#Totals])</f>
        <v>1</v>
      </c>
      <c r="O10" s="74">
        <f>COLUMNS(table[#Totals])</f>
        <v>4</v>
      </c>
      <c r="P10" s="22">
        <v>18</v>
      </c>
      <c r="Q10" s="23">
        <v>1</v>
      </c>
      <c r="R10" s="23">
        <v>1</v>
      </c>
      <c r="S10" s="24">
        <v>4</v>
      </c>
      <c r="T10" s="55">
        <f t="shared" si="4"/>
        <v>1</v>
      </c>
      <c r="U10" s="56">
        <f t="shared" si="0"/>
        <v>1</v>
      </c>
      <c r="V10" s="56">
        <f t="shared" si="1"/>
        <v>1</v>
      </c>
      <c r="W10" s="57">
        <f t="shared" si="2"/>
        <v>1</v>
      </c>
    </row>
    <row r="11" spans="1:23" ht="15.75">
      <c r="A11">
        <v>6</v>
      </c>
      <c r="B11">
        <v>7</v>
      </c>
      <c r="C11">
        <v>8</v>
      </c>
      <c r="D11" s="11">
        <f>[Head1]+[Head''2]</f>
        <v>13</v>
      </c>
      <c r="F11" s="3" t="s">
        <v>713</v>
      </c>
      <c r="G11" s="3"/>
      <c r="H11" s="3"/>
      <c r="I11" s="3"/>
      <c r="K11" t="s">
        <v>731</v>
      </c>
      <c r="L11" s="72">
        <f>ROW(table[#All])</f>
        <v>5</v>
      </c>
      <c r="M11" s="73">
        <f>COLUMN(table[#All])</f>
        <v>1</v>
      </c>
      <c r="N11" s="73">
        <f>ROWS(table[#All])</f>
        <v>14</v>
      </c>
      <c r="O11" s="74">
        <f>COLUMNS(table[#All])</f>
        <v>4</v>
      </c>
      <c r="P11" s="22">
        <v>5</v>
      </c>
      <c r="Q11" s="23">
        <v>1</v>
      </c>
      <c r="R11" s="23">
        <v>14</v>
      </c>
      <c r="S11" s="24">
        <v>4</v>
      </c>
      <c r="T11" s="55">
        <f t="shared" si="4"/>
        <v>1</v>
      </c>
      <c r="U11" s="56">
        <f t="shared" si="0"/>
        <v>1</v>
      </c>
      <c r="V11" s="56">
        <f t="shared" si="1"/>
        <v>1</v>
      </c>
      <c r="W11" s="57">
        <f t="shared" si="2"/>
        <v>1</v>
      </c>
    </row>
    <row r="12" spans="1:23">
      <c r="A12">
        <v>7</v>
      </c>
      <c r="B12">
        <v>8</v>
      </c>
      <c r="C12">
        <v>9</v>
      </c>
      <c r="D12" s="11">
        <f>[Head1]+[Head''2]</f>
        <v>15</v>
      </c>
      <c r="F12" s="4" t="s">
        <v>4</v>
      </c>
      <c r="G12" s="4" t="s">
        <v>5</v>
      </c>
      <c r="H12" s="4" t="s">
        <v>6</v>
      </c>
      <c r="I12" s="4" t="s">
        <v>7</v>
      </c>
      <c r="K12" t="s">
        <v>732</v>
      </c>
      <c r="L12" s="22">
        <f>ROW(table[[#Headers],[#Data]])</f>
        <v>5</v>
      </c>
      <c r="M12" s="23">
        <f>COLUMN(table[[#Headers],[#Data]])</f>
        <v>1</v>
      </c>
      <c r="N12" s="23">
        <f>ROWS(table[[#Headers],[#Data]])</f>
        <v>13</v>
      </c>
      <c r="O12" s="24">
        <f>COLUMNS(table[[#Headers],[#Data]])</f>
        <v>4</v>
      </c>
      <c r="P12" s="22">
        <v>5</v>
      </c>
      <c r="Q12" s="23">
        <v>1</v>
      </c>
      <c r="R12" s="23">
        <v>13</v>
      </c>
      <c r="S12" s="24">
        <v>4</v>
      </c>
      <c r="T12" s="55">
        <f t="shared" si="4"/>
        <v>1</v>
      </c>
      <c r="U12" s="56">
        <f t="shared" si="0"/>
        <v>1</v>
      </c>
      <c r="V12" s="56">
        <f t="shared" si="1"/>
        <v>1</v>
      </c>
      <c r="W12" s="57">
        <f t="shared" si="2"/>
        <v>1</v>
      </c>
    </row>
    <row r="13" spans="1:23">
      <c r="A13" s="23">
        <v>8</v>
      </c>
      <c r="B13" s="23">
        <v>9</v>
      </c>
      <c r="C13" s="23">
        <v>10</v>
      </c>
      <c r="D13" s="48">
        <f>[Head1]+[Head''2]</f>
        <v>17</v>
      </c>
      <c r="F13" s="5" t="s">
        <v>711</v>
      </c>
      <c r="G13" s="5">
        <f>table[[#This Row],[Head1]]</f>
        <v>8</v>
      </c>
      <c r="H13">
        <v>8</v>
      </c>
      <c r="I13" s="59">
        <f>IF(IF(AND(ISERROR(G13),ISERROR(H13)),ERROR.TYPE(G13)=ERROR.TYPE(H13),IF(AND(NOT(ISERROR(G13)),NOT(ISERROR(H13))),AND(ISBLANK(G13)=ISBLANK(H13),G13=H13))),1,"ERR!")</f>
        <v>1</v>
      </c>
      <c r="K13" t="s">
        <v>733</v>
      </c>
      <c r="L13" s="25">
        <f>ROW(table[[#Data],[#Totals]])</f>
        <v>6</v>
      </c>
      <c r="M13" s="26">
        <f>COLUMN(table[[#Data],[#Totals]])</f>
        <v>1</v>
      </c>
      <c r="N13" s="26">
        <f>ROWS(table[[#Data],[#Totals]])</f>
        <v>13</v>
      </c>
      <c r="O13" s="27">
        <f>COLUMNS(table[[#Data],[#Totals]])</f>
        <v>4</v>
      </c>
      <c r="P13" s="25">
        <v>6</v>
      </c>
      <c r="Q13" s="26">
        <v>1</v>
      </c>
      <c r="R13" s="26">
        <v>13</v>
      </c>
      <c r="S13" s="27">
        <v>4</v>
      </c>
      <c r="T13" s="52">
        <f t="shared" si="4"/>
        <v>1</v>
      </c>
      <c r="U13" s="58">
        <f t="shared" si="0"/>
        <v>1</v>
      </c>
      <c r="V13" s="58">
        <f t="shared" si="1"/>
        <v>1</v>
      </c>
      <c r="W13" s="53">
        <f t="shared" si="2"/>
        <v>1</v>
      </c>
    </row>
    <row r="14" spans="1:23">
      <c r="A14">
        <v>9</v>
      </c>
      <c r="B14">
        <v>10</v>
      </c>
      <c r="C14">
        <v>11</v>
      </c>
      <c r="D14" s="11">
        <f>[Head1]+[Head''2]</f>
        <v>19</v>
      </c>
      <c r="F14" s="5" t="s">
        <v>714</v>
      </c>
      <c r="G14" s="5">
        <f>SUM(table[[#This Row],[Head''2]])</f>
        <v>10</v>
      </c>
      <c r="H14">
        <v>10</v>
      </c>
      <c r="I14" s="59">
        <f t="shared" ref="I14:I16" si="5">IF(IF(AND(ISERROR(G14),ISERROR(H14)),ERROR.TYPE(G14)=ERROR.TYPE(H14),IF(AND(NOT(ISERROR(G14)),NOT(ISERROR(H14))),AND(ISBLANK(G14)=ISBLANK(H14),G14=H14))),1,"ERR!")</f>
        <v>1</v>
      </c>
      <c r="K14" s="5"/>
      <c r="M14" s="73"/>
      <c r="N14" s="73"/>
      <c r="O14" s="73"/>
      <c r="P14" s="23"/>
      <c r="Q14" s="23"/>
      <c r="R14" s="23"/>
      <c r="S14" s="23"/>
      <c r="T14" s="56"/>
      <c r="U14" s="56"/>
      <c r="V14" s="56"/>
      <c r="W14" s="56"/>
    </row>
    <row r="15" spans="1:23" ht="15.75">
      <c r="A15" s="23">
        <v>10</v>
      </c>
      <c r="B15" s="23">
        <v>11</v>
      </c>
      <c r="C15" s="23">
        <v>12</v>
      </c>
      <c r="D15" s="48">
        <f>[Head1]+[Head''2]</f>
        <v>21</v>
      </c>
      <c r="F15" s="5" t="s">
        <v>712</v>
      </c>
      <c r="G15" s="5">
        <f>SUM(table[[#This Row],['#Head3]:[Calced]])</f>
        <v>33</v>
      </c>
      <c r="H15">
        <v>33</v>
      </c>
      <c r="I15" s="59">
        <f t="shared" si="5"/>
        <v>1</v>
      </c>
      <c r="K15" s="3" t="s">
        <v>739</v>
      </c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 spans="1:23">
      <c r="A16" s="23">
        <v>11</v>
      </c>
      <c r="B16" s="23">
        <v>12</v>
      </c>
      <c r="C16" s="23">
        <v>13</v>
      </c>
      <c r="D16" s="48">
        <f>[Head1]+[Head''2]</f>
        <v>23</v>
      </c>
      <c r="F16" s="5" t="s">
        <v>668</v>
      </c>
      <c r="G16" s="5">
        <f>SUM(table[#This Row])</f>
        <v>59</v>
      </c>
      <c r="H16">
        <v>59</v>
      </c>
      <c r="I16" s="59">
        <f t="shared" si="5"/>
        <v>1</v>
      </c>
      <c r="K16" s="4" t="s">
        <v>726</v>
      </c>
      <c r="L16" s="4" t="s">
        <v>5</v>
      </c>
      <c r="M16" s="4"/>
      <c r="N16" s="4"/>
      <c r="O16" s="4"/>
      <c r="P16" s="4" t="s">
        <v>6</v>
      </c>
      <c r="Q16" s="4"/>
      <c r="R16" s="4"/>
      <c r="S16" s="4"/>
      <c r="T16" s="4" t="s">
        <v>7</v>
      </c>
      <c r="U16" s="4"/>
      <c r="V16" s="4"/>
      <c r="W16" s="4"/>
    </row>
    <row r="17" spans="1:23">
      <c r="A17" s="23">
        <v>12</v>
      </c>
      <c r="B17" s="23">
        <v>13</v>
      </c>
      <c r="C17" s="23">
        <v>14</v>
      </c>
      <c r="D17" s="48">
        <f>[Head1]+[Head''2]</f>
        <v>25</v>
      </c>
      <c r="K17" t="s">
        <v>734</v>
      </c>
      <c r="L17" s="19">
        <f>ROW(table[[#Data],[Head''2]])</f>
        <v>6</v>
      </c>
      <c r="M17" s="20">
        <f>COLUMN(table[[#Data],[Head''2]])</f>
        <v>2</v>
      </c>
      <c r="N17" s="20">
        <f>ROWS(table[[#Data],[Head''2]])</f>
        <v>12</v>
      </c>
      <c r="O17" s="21">
        <f>COLUMNS(table[[#Data],[Head''2]])</f>
        <v>1</v>
      </c>
      <c r="P17" s="19">
        <v>6</v>
      </c>
      <c r="Q17" s="20">
        <v>2</v>
      </c>
      <c r="R17" s="20">
        <v>12</v>
      </c>
      <c r="S17" s="21">
        <v>1</v>
      </c>
      <c r="T17" s="50">
        <f t="shared" ref="T17:T20" si="6">IF(IF(AND(ISERROR(L17),ISERROR(P17)),ERROR.TYPE(L17)=ERROR.TYPE(P17),IF(AND(NOT(ISERROR(L17)),NOT(ISERROR(P17))),AND(ISBLANK(L17)=ISBLANK(P17),L17=P17))),1,"ERR!")</f>
        <v>1</v>
      </c>
      <c r="U17" s="54">
        <f t="shared" ref="U17:U20" si="7">IF(IF(AND(ISERROR(M17),ISERROR(Q17)),ERROR.TYPE(M17)=ERROR.TYPE(Q17),IF(AND(NOT(ISERROR(M17)),NOT(ISERROR(Q17))),AND(ISBLANK(M17)=ISBLANK(Q17),M17=Q17))),1,"ERR!")</f>
        <v>1</v>
      </c>
      <c r="V17" s="54">
        <f t="shared" ref="V17:V20" si="8">IF(IF(AND(ISERROR(N17),ISERROR(R17)),ERROR.TYPE(N17)=ERROR.TYPE(R17),IF(AND(NOT(ISERROR(N17)),NOT(ISERROR(R17))),AND(ISBLANK(N17)=ISBLANK(R17),N17=R17))),1,"ERR!")</f>
        <v>1</v>
      </c>
      <c r="W17" s="51">
        <f t="shared" ref="W17:W20" si="9">IF(IF(AND(ISERROR(O17),ISERROR(S17)),ERROR.TYPE(O17)=ERROR.TYPE(S17),IF(AND(NOT(ISERROR(O17)),NOT(ISERROR(S17))),AND(ISBLANK(O17)=ISBLANK(S17),O17=S17))),1,"ERR!")</f>
        <v>1</v>
      </c>
    </row>
    <row r="18" spans="1:23" ht="15.75">
      <c r="A18">
        <f>SUBTOTAL(109,[Head1])</f>
        <v>78</v>
      </c>
      <c r="B18">
        <f>SUBTOTAL(104,[Head''2])</f>
        <v>13</v>
      </c>
      <c r="C18">
        <f>SUBTOTAL(103,['#Head3])</f>
        <v>12</v>
      </c>
      <c r="D18">
        <f>SUBTOTAL(101,[Calced])</f>
        <v>14</v>
      </c>
      <c r="F18" s="3" t="s">
        <v>710</v>
      </c>
      <c r="G18" s="3"/>
      <c r="H18" s="3"/>
      <c r="I18" s="3"/>
      <c r="K18" t="s">
        <v>735</v>
      </c>
      <c r="L18" s="22">
        <f>ROW(table[[#Data],['#Head3]:[Calced]])</f>
        <v>6</v>
      </c>
      <c r="M18" s="23">
        <f>COLUMN(table[[#Data],['#Head3]:[Calced]])</f>
        <v>3</v>
      </c>
      <c r="N18" s="23">
        <f>ROWS(table[[#Data],['#Head3]:[Calced]])</f>
        <v>12</v>
      </c>
      <c r="O18" s="24">
        <f>COLUMNS(table[[#Data],['#Head3]:[Calced]])</f>
        <v>2</v>
      </c>
      <c r="P18" s="22">
        <v>6</v>
      </c>
      <c r="Q18" s="23">
        <v>3</v>
      </c>
      <c r="R18" s="23">
        <v>12</v>
      </c>
      <c r="S18" s="24">
        <v>2</v>
      </c>
      <c r="T18" s="55">
        <f t="shared" si="6"/>
        <v>1</v>
      </c>
      <c r="U18" s="56">
        <f t="shared" si="7"/>
        <v>1</v>
      </c>
      <c r="V18" s="56">
        <f t="shared" si="8"/>
        <v>1</v>
      </c>
      <c r="W18" s="57">
        <f t="shared" si="9"/>
        <v>1</v>
      </c>
    </row>
    <row r="19" spans="1:23">
      <c r="F19" s="4" t="s">
        <v>249</v>
      </c>
      <c r="G19" s="4" t="s">
        <v>5</v>
      </c>
      <c r="H19" s="4" t="s">
        <v>6</v>
      </c>
      <c r="I19" s="4" t="s">
        <v>7</v>
      </c>
      <c r="K19" t="s">
        <v>736</v>
      </c>
      <c r="L19" s="22">
        <f>ROW(table[[#Headers],[#Data],[Head''2]])</f>
        <v>5</v>
      </c>
      <c r="M19" s="23">
        <f>COLUMN(table[[#Headers],[#Data],[Head''2]])</f>
        <v>2</v>
      </c>
      <c r="N19" s="23">
        <f>ROWS(table[[#Headers],[#Data],[Head''2]])</f>
        <v>13</v>
      </c>
      <c r="O19" s="24">
        <f>COLUMNS(table[[#Headers],[#Data],[Head''2]])</f>
        <v>1</v>
      </c>
      <c r="P19" s="22">
        <v>5</v>
      </c>
      <c r="Q19" s="23">
        <v>2</v>
      </c>
      <c r="R19" s="23">
        <v>13</v>
      </c>
      <c r="S19" s="24">
        <v>1</v>
      </c>
      <c r="T19" s="55">
        <f t="shared" si="6"/>
        <v>1</v>
      </c>
      <c r="U19" s="56">
        <f t="shared" si="7"/>
        <v>1</v>
      </c>
      <c r="V19" s="56">
        <f t="shared" si="8"/>
        <v>1</v>
      </c>
      <c r="W19" s="57">
        <f t="shared" si="9"/>
        <v>1</v>
      </c>
    </row>
    <row r="20" spans="1:23">
      <c r="F20" t="s">
        <v>644</v>
      </c>
      <c r="G20">
        <f>$A$18</f>
        <v>78</v>
      </c>
      <c r="H20">
        <v>78</v>
      </c>
      <c r="I20" s="49">
        <f t="shared" ref="I20:I23" si="10">IF(IF(AND(ISERROR(G20),ISERROR(H20)),ERROR.TYPE(G20)=ERROR.TYPE(H20),IF(AND(NOT(ISERROR(G20)),NOT(ISERROR(H20))),AND(ISBLANK(G20)=ISBLANK(H20),G20=H20))),1,"ERR!")</f>
        <v>1</v>
      </c>
      <c r="K20" t="s">
        <v>737</v>
      </c>
      <c r="L20" s="25">
        <f>ROW(table[[#Data],[#Totals],['#Head3]:[Calced]])</f>
        <v>6</v>
      </c>
      <c r="M20" s="26">
        <f>COLUMN(table[[#Data],[#Totals],['#Head3]:[Calced]])</f>
        <v>3</v>
      </c>
      <c r="N20" s="26">
        <f>ROWS(table[[#Data],[#Totals],['#Head3]:[Calced]])</f>
        <v>13</v>
      </c>
      <c r="O20" s="27">
        <f>COLUMNS(table[[#Data],[#Totals],['#Head3]:[Calced]])</f>
        <v>2</v>
      </c>
      <c r="P20" s="25">
        <v>6</v>
      </c>
      <c r="Q20" s="26">
        <v>3</v>
      </c>
      <c r="R20" s="26">
        <v>13</v>
      </c>
      <c r="S20" s="27">
        <v>2</v>
      </c>
      <c r="T20" s="52">
        <f t="shared" si="6"/>
        <v>1</v>
      </c>
      <c r="U20" s="58">
        <f t="shared" si="7"/>
        <v>1</v>
      </c>
      <c r="V20" s="58">
        <f t="shared" si="8"/>
        <v>1</v>
      </c>
      <c r="W20" s="53">
        <f t="shared" si="9"/>
        <v>1</v>
      </c>
    </row>
    <row r="21" spans="1:23">
      <c r="F21" t="s">
        <v>645</v>
      </c>
      <c r="G21">
        <f>$B$18</f>
        <v>13</v>
      </c>
      <c r="H21">
        <v>13</v>
      </c>
      <c r="I21" s="49">
        <f t="shared" si="10"/>
        <v>1</v>
      </c>
    </row>
    <row r="22" spans="1:23" ht="15.75">
      <c r="A22">
        <v>1</v>
      </c>
      <c r="B22">
        <v>2</v>
      </c>
      <c r="C22">
        <v>3</v>
      </c>
      <c r="F22" t="s">
        <v>646</v>
      </c>
      <c r="G22">
        <f>$C$18</f>
        <v>12</v>
      </c>
      <c r="H22">
        <v>12</v>
      </c>
      <c r="I22" s="49">
        <f t="shared" si="10"/>
        <v>1</v>
      </c>
      <c r="K22" s="3" t="s">
        <v>740</v>
      </c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</row>
    <row r="23" spans="1:23">
      <c r="A23">
        <v>2</v>
      </c>
      <c r="B23">
        <v>3</v>
      </c>
      <c r="C23">
        <v>4</v>
      </c>
      <c r="F23" t="s">
        <v>647</v>
      </c>
      <c r="G23">
        <f>$D$18</f>
        <v>14</v>
      </c>
      <c r="H23">
        <v>14</v>
      </c>
      <c r="I23" s="49">
        <f t="shared" si="10"/>
        <v>1</v>
      </c>
      <c r="K23" s="4" t="s">
        <v>726</v>
      </c>
      <c r="L23" s="4" t="s">
        <v>5</v>
      </c>
      <c r="M23" s="4"/>
      <c r="N23" s="4"/>
      <c r="O23" s="4"/>
      <c r="P23" s="4" t="s">
        <v>6</v>
      </c>
      <c r="Q23" s="4"/>
      <c r="R23" s="4"/>
      <c r="S23" s="4"/>
      <c r="T23" s="4" t="s">
        <v>7</v>
      </c>
      <c r="U23" s="4"/>
      <c r="V23" s="4"/>
      <c r="W23" s="4"/>
    </row>
    <row r="24" spans="1:23">
      <c r="A24">
        <v>3</v>
      </c>
      <c r="B24">
        <v>4</v>
      </c>
      <c r="C24">
        <v>5</v>
      </c>
      <c r="K24" t="s">
        <v>741</v>
      </c>
      <c r="L24" s="69">
        <f>ROW(table2[])</f>
        <v>22</v>
      </c>
      <c r="M24" s="70">
        <f>COLUMN(table2[])</f>
        <v>1</v>
      </c>
      <c r="N24" s="70">
        <f>ROWS(table2[])</f>
        <v>4</v>
      </c>
      <c r="O24" s="71">
        <f>COLUMNS(table2[])</f>
        <v>3</v>
      </c>
      <c r="P24" s="19">
        <v>22</v>
      </c>
      <c r="Q24" s="20">
        <v>1</v>
      </c>
      <c r="R24" s="20">
        <v>4</v>
      </c>
      <c r="S24" s="21">
        <v>3</v>
      </c>
      <c r="T24" s="50">
        <f>IF(IF(AND(ISERROR(L24),ISERROR(P24)),ERROR.TYPE(L24)=ERROR.TYPE(P24),IF(AND(NOT(ISERROR(L24)),NOT(ISERROR(P24))),AND(ISBLANK(L24)=ISBLANK(P24),L24=P24))),1,"ERR!")</f>
        <v>1</v>
      </c>
      <c r="U24" s="54">
        <f t="shared" ref="U24:U30" si="11">IF(IF(AND(ISERROR(M24),ISERROR(Q24)),ERROR.TYPE(M24)=ERROR.TYPE(Q24),IF(AND(NOT(ISERROR(M24)),NOT(ISERROR(Q24))),AND(ISBLANK(M24)=ISBLANK(Q24),M24=Q24))),1,"ERR!")</f>
        <v>1</v>
      </c>
      <c r="V24" s="54">
        <f t="shared" ref="V24:V30" si="12">IF(IF(AND(ISERROR(N24),ISERROR(R24)),ERROR.TYPE(N24)=ERROR.TYPE(R24),IF(AND(NOT(ISERROR(N24)),NOT(ISERROR(R24))),AND(ISBLANK(N24)=ISBLANK(R24),N24=R24))),1,"ERR!")</f>
        <v>1</v>
      </c>
      <c r="W24" s="51">
        <f t="shared" ref="W24:W30" si="13">IF(IF(AND(ISERROR(O24),ISERROR(S24)),ERROR.TYPE(O24)=ERROR.TYPE(S24),IF(AND(NOT(ISERROR(O24)),NOT(ISERROR(S24))),AND(ISBLANK(O24)=ISBLANK(S24),O24=S24))),1,"ERR!")</f>
        <v>1</v>
      </c>
    </row>
    <row r="25" spans="1:23" ht="15.75">
      <c r="A25">
        <v>4</v>
      </c>
      <c r="B25">
        <v>5</v>
      </c>
      <c r="C25">
        <v>6</v>
      </c>
      <c r="F25" s="3" t="s">
        <v>719</v>
      </c>
      <c r="G25" s="3"/>
      <c r="H25" s="3"/>
      <c r="I25" s="3"/>
      <c r="K25" t="s">
        <v>742</v>
      </c>
      <c r="L25" s="72" t="e">
        <f>ROW(table2[#Headers])</f>
        <v>#REF!</v>
      </c>
      <c r="M25" s="73" t="e">
        <f>COLUMN(table2[#Headers])</f>
        <v>#REF!</v>
      </c>
      <c r="N25" s="73" t="e">
        <f>ROWS(table2[#Headers])</f>
        <v>#REF!</v>
      </c>
      <c r="O25" s="74" t="e">
        <f>COLUMNS(table2[#Headers])</f>
        <v>#REF!</v>
      </c>
      <c r="P25" s="22" t="e">
        <v>#REF!</v>
      </c>
      <c r="Q25" s="23" t="e">
        <v>#REF!</v>
      </c>
      <c r="R25" s="23" t="e">
        <v>#REF!</v>
      </c>
      <c r="S25" s="24" t="e">
        <v>#REF!</v>
      </c>
      <c r="T25" s="55">
        <f t="shared" ref="T25:T30" si="14">IF(IF(AND(ISERROR(L25),ISERROR(P25)),ERROR.TYPE(L25)=ERROR.TYPE(P25),IF(AND(NOT(ISERROR(L25)),NOT(ISERROR(P25))),AND(ISBLANK(L25)=ISBLANK(P25),L25=P25))),1,"ERR!")</f>
        <v>1</v>
      </c>
      <c r="U25" s="56">
        <f t="shared" si="11"/>
        <v>1</v>
      </c>
      <c r="V25" s="56">
        <f t="shared" si="12"/>
        <v>1</v>
      </c>
      <c r="W25" s="57">
        <f t="shared" si="13"/>
        <v>1</v>
      </c>
    </row>
    <row r="26" spans="1:23">
      <c r="F26" s="4" t="s">
        <v>249</v>
      </c>
      <c r="G26" s="4" t="s">
        <v>5</v>
      </c>
      <c r="H26" s="4" t="s">
        <v>6</v>
      </c>
      <c r="I26" s="4" t="s">
        <v>7</v>
      </c>
      <c r="K26" t="s">
        <v>743</v>
      </c>
      <c r="L26" s="72">
        <f>ROW(table2[#Data])</f>
        <v>22</v>
      </c>
      <c r="M26" s="73">
        <f>COLUMN(table2[#Data])</f>
        <v>1</v>
      </c>
      <c r="N26" s="73">
        <f>ROWS(table2[#Data])</f>
        <v>4</v>
      </c>
      <c r="O26" s="74">
        <f>COLUMNS(table2[#Data])</f>
        <v>3</v>
      </c>
      <c r="P26" s="22">
        <v>22</v>
      </c>
      <c r="Q26" s="23">
        <v>1</v>
      </c>
      <c r="R26" s="23">
        <v>4</v>
      </c>
      <c r="S26" s="24">
        <v>3</v>
      </c>
      <c r="T26" s="55">
        <f t="shared" si="14"/>
        <v>1</v>
      </c>
      <c r="U26" s="56">
        <f t="shared" si="11"/>
        <v>1</v>
      </c>
      <c r="V26" s="56">
        <f t="shared" si="12"/>
        <v>1</v>
      </c>
      <c r="W26" s="57">
        <f t="shared" si="13"/>
        <v>1</v>
      </c>
    </row>
    <row r="27" spans="1:23">
      <c r="F27" s="5" t="s">
        <v>670</v>
      </c>
      <c r="G27" s="5">
        <f>SUM(table[['#Head3]:[Calced]])</f>
        <v>270</v>
      </c>
      <c r="H27">
        <v>270</v>
      </c>
      <c r="I27" s="49">
        <f t="shared" ref="I27:I40" si="15">IF(IF(AND(ISERROR(G27),ISERROR(H27)),ERROR.TYPE(G27)=ERROR.TYPE(H27),IF(AND(NOT(ISERROR(G27)),NOT(ISERROR(H27))),AND(ISBLANK(G27)=ISBLANK(H27),G27=H27))),1,"ERR!")</f>
        <v>1</v>
      </c>
      <c r="K27" t="s">
        <v>744</v>
      </c>
      <c r="L27" s="72" t="e">
        <f>ROW(table2[#Totals])</f>
        <v>#REF!</v>
      </c>
      <c r="M27" s="73" t="e">
        <f>COLUMN(table2[#Totals])</f>
        <v>#REF!</v>
      </c>
      <c r="N27" s="73" t="e">
        <f>ROWS(table2[#Totals])</f>
        <v>#REF!</v>
      </c>
      <c r="O27" s="74" t="e">
        <f>COLUMNS(table2[#Totals])</f>
        <v>#REF!</v>
      </c>
      <c r="P27" s="22" t="e">
        <v>#REF!</v>
      </c>
      <c r="Q27" s="23" t="e">
        <v>#REF!</v>
      </c>
      <c r="R27" s="23" t="e">
        <v>#REF!</v>
      </c>
      <c r="S27" s="24" t="e">
        <v>#REF!</v>
      </c>
      <c r="T27" s="55">
        <f t="shared" si="14"/>
        <v>1</v>
      </c>
      <c r="U27" s="56">
        <f t="shared" si="11"/>
        <v>1</v>
      </c>
      <c r="V27" s="56">
        <f t="shared" si="12"/>
        <v>1</v>
      </c>
      <c r="W27" s="57">
        <f t="shared" si="13"/>
        <v>1</v>
      </c>
    </row>
    <row r="28" spans="1:23">
      <c r="F28" s="5" t="s">
        <v>671</v>
      </c>
      <c r="G28" s="5">
        <f>SUM(table[ ['#Head3]:[Calced] ])</f>
        <v>270</v>
      </c>
      <c r="H28">
        <v>270</v>
      </c>
      <c r="I28" s="49">
        <f t="shared" si="15"/>
        <v>1</v>
      </c>
      <c r="K28" t="s">
        <v>745</v>
      </c>
      <c r="L28" s="72">
        <f>ROW(table2[#All])</f>
        <v>22</v>
      </c>
      <c r="M28" s="73">
        <f>COLUMN(table2[#All])</f>
        <v>1</v>
      </c>
      <c r="N28" s="73">
        <f>ROWS(table2[#All])</f>
        <v>4</v>
      </c>
      <c r="O28" s="74">
        <f>COLUMNS(table2[#All])</f>
        <v>3</v>
      </c>
      <c r="P28" s="22">
        <v>22</v>
      </c>
      <c r="Q28" s="23">
        <v>1</v>
      </c>
      <c r="R28" s="23">
        <v>4</v>
      </c>
      <c r="S28" s="24">
        <v>3</v>
      </c>
      <c r="T28" s="55">
        <f t="shared" si="14"/>
        <v>1</v>
      </c>
      <c r="U28" s="56">
        <f t="shared" si="11"/>
        <v>1</v>
      </c>
      <c r="V28" s="56">
        <f t="shared" si="12"/>
        <v>1</v>
      </c>
      <c r="W28" s="57">
        <f t="shared" si="13"/>
        <v>1</v>
      </c>
    </row>
    <row r="29" spans="1:23">
      <c r="F29" s="5" t="s">
        <v>715</v>
      </c>
      <c r="G29">
        <f>SUM(table[[#Data],['#Head3]:[Calced]])</f>
        <v>270</v>
      </c>
      <c r="H29">
        <v>270</v>
      </c>
      <c r="I29" s="49">
        <f t="shared" si="15"/>
        <v>1</v>
      </c>
      <c r="K29" t="s">
        <v>746</v>
      </c>
      <c r="L29" s="22">
        <f>ROW(table2[[#Headers],[#Data]])</f>
        <v>22</v>
      </c>
      <c r="M29" s="23">
        <f>COLUMN(table2[[#Headers],[#Data]])</f>
        <v>1</v>
      </c>
      <c r="N29" s="23">
        <f>ROWS(table2[[#Headers],[#Data]])</f>
        <v>4</v>
      </c>
      <c r="O29" s="24">
        <f>COLUMNS(table2[[#Headers],[#Data]])</f>
        <v>3</v>
      </c>
      <c r="P29" s="22">
        <v>22</v>
      </c>
      <c r="Q29" s="23">
        <v>1</v>
      </c>
      <c r="R29" s="23">
        <v>4</v>
      </c>
      <c r="S29" s="24">
        <v>3</v>
      </c>
      <c r="T29" s="55">
        <f t="shared" si="14"/>
        <v>1</v>
      </c>
      <c r="U29" s="56">
        <f t="shared" si="11"/>
        <v>1</v>
      </c>
      <c r="V29" s="56">
        <f t="shared" si="12"/>
        <v>1</v>
      </c>
      <c r="W29" s="57">
        <f t="shared" si="13"/>
        <v>1</v>
      </c>
    </row>
    <row r="30" spans="1:23">
      <c r="F30" s="5" t="s">
        <v>716</v>
      </c>
      <c r="G30">
        <f>SUM(table[ [#Data],['#Head3]:[Calced] ])</f>
        <v>270</v>
      </c>
      <c r="H30">
        <v>270</v>
      </c>
      <c r="I30" s="49">
        <f t="shared" si="15"/>
        <v>1</v>
      </c>
      <c r="K30" t="s">
        <v>747</v>
      </c>
      <c r="L30" s="25">
        <f>ROW(table2[[#Data],[#Totals]])</f>
        <v>22</v>
      </c>
      <c r="M30" s="26">
        <f>COLUMN(table2[[#Data],[#Totals]])</f>
        <v>1</v>
      </c>
      <c r="N30" s="26">
        <f>ROWS(table2[[#Data],[#Totals]])</f>
        <v>4</v>
      </c>
      <c r="O30" s="27">
        <f>COLUMNS(table2[[#Data],[#Totals]])</f>
        <v>3</v>
      </c>
      <c r="P30" s="25">
        <v>22</v>
      </c>
      <c r="Q30" s="26">
        <v>1</v>
      </c>
      <c r="R30" s="26">
        <v>4</v>
      </c>
      <c r="S30" s="27">
        <v>3</v>
      </c>
      <c r="T30" s="52">
        <f t="shared" si="14"/>
        <v>1</v>
      </c>
      <c r="U30" s="58">
        <f t="shared" si="11"/>
        <v>1</v>
      </c>
      <c r="V30" s="58">
        <f t="shared" si="12"/>
        <v>1</v>
      </c>
      <c r="W30" s="53">
        <f t="shared" si="13"/>
        <v>1</v>
      </c>
    </row>
    <row r="31" spans="1:23">
      <c r="F31" s="5" t="s">
        <v>717</v>
      </c>
      <c r="G31">
        <f>SUM(table[[#Data], ['#Head3]:[Calced]])</f>
        <v>270</v>
      </c>
      <c r="H31">
        <v>270</v>
      </c>
      <c r="I31" s="49">
        <f t="shared" si="15"/>
        <v>1</v>
      </c>
    </row>
    <row r="32" spans="1:23" ht="15.75">
      <c r="F32" s="5" t="s">
        <v>718</v>
      </c>
      <c r="G32">
        <f>SUM(table[ [#Data], ['#Head3]:[Calced] ])</f>
        <v>270</v>
      </c>
      <c r="H32">
        <v>270</v>
      </c>
      <c r="I32" s="49">
        <f t="shared" si="15"/>
        <v>1</v>
      </c>
      <c r="K32" s="3" t="s">
        <v>748</v>
      </c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6:23">
      <c r="F33" s="5" t="s">
        <v>720</v>
      </c>
      <c r="G33">
        <f>SUM(table[[#Data],[#Totals],[Head''2]])</f>
        <v>103</v>
      </c>
      <c r="H33">
        <v>103</v>
      </c>
      <c r="I33" s="49">
        <f t="shared" si="15"/>
        <v>1</v>
      </c>
      <c r="K33" s="4" t="s">
        <v>726</v>
      </c>
      <c r="L33" s="4" t="s">
        <v>5</v>
      </c>
      <c r="M33" s="4"/>
      <c r="N33" s="4"/>
      <c r="O33" s="4"/>
      <c r="P33" s="4" t="s">
        <v>6</v>
      </c>
      <c r="Q33" s="4"/>
      <c r="R33" s="4"/>
      <c r="S33" s="4"/>
      <c r="T33" s="4" t="s">
        <v>7</v>
      </c>
      <c r="U33" s="4"/>
      <c r="V33" s="4"/>
      <c r="W33" s="4"/>
    </row>
    <row r="34" spans="6:23">
      <c r="F34" s="5" t="s">
        <v>721</v>
      </c>
      <c r="G34">
        <f>SUM(table[ [#Data],[#Totals],[Head''2] ])</f>
        <v>103</v>
      </c>
      <c r="H34">
        <v>103</v>
      </c>
      <c r="I34" s="49">
        <f t="shared" si="15"/>
        <v>1</v>
      </c>
      <c r="K34" t="s">
        <v>749</v>
      </c>
      <c r="L34" s="19">
        <f>ROW(table2[[#Data],[Column1]])</f>
        <v>22</v>
      </c>
      <c r="M34" s="20">
        <f>COLUMN(table2[[#Data],[Column1]])</f>
        <v>1</v>
      </c>
      <c r="N34" s="20">
        <f>ROWS(table2[[#Data],[Column1]])</f>
        <v>4</v>
      </c>
      <c r="O34" s="21">
        <f>COLUMNS(table2[[#Data],[Column1]])</f>
        <v>1</v>
      </c>
      <c r="P34" s="19">
        <v>22</v>
      </c>
      <c r="Q34" s="20">
        <v>1</v>
      </c>
      <c r="R34" s="20">
        <v>4</v>
      </c>
      <c r="S34" s="21">
        <v>1</v>
      </c>
      <c r="T34" s="50">
        <f t="shared" ref="T34:T37" si="16">IF(IF(AND(ISERROR(L34),ISERROR(P34)),ERROR.TYPE(L34)=ERROR.TYPE(P34),IF(AND(NOT(ISERROR(L34)),NOT(ISERROR(P34))),AND(ISBLANK(L34)=ISBLANK(P34),L34=P34))),1,"ERR!")</f>
        <v>1</v>
      </c>
      <c r="U34" s="54">
        <f t="shared" ref="U34:U37" si="17">IF(IF(AND(ISERROR(M34),ISERROR(Q34)),ERROR.TYPE(M34)=ERROR.TYPE(Q34),IF(AND(NOT(ISERROR(M34)),NOT(ISERROR(Q34))),AND(ISBLANK(M34)=ISBLANK(Q34),M34=Q34))),1,"ERR!")</f>
        <v>1</v>
      </c>
      <c r="V34" s="54">
        <f t="shared" ref="V34:V37" si="18">IF(IF(AND(ISERROR(N34),ISERROR(R34)),ERROR.TYPE(N34)=ERROR.TYPE(R34),IF(AND(NOT(ISERROR(N34)),NOT(ISERROR(R34))),AND(ISBLANK(N34)=ISBLANK(R34),N34=R34))),1,"ERR!")</f>
        <v>1</v>
      </c>
      <c r="W34" s="51">
        <f t="shared" ref="W34:W37" si="19">IF(IF(AND(ISERROR(O34),ISERROR(S34)),ERROR.TYPE(O34)=ERROR.TYPE(S34),IF(AND(NOT(ISERROR(O34)),NOT(ISERROR(S34))),AND(ISBLANK(O34)=ISBLANK(S34),O34=S34))),1,"ERR!")</f>
        <v>1</v>
      </c>
    </row>
    <row r="35" spans="6:23">
      <c r="F35" s="5" t="s">
        <v>721</v>
      </c>
      <c r="G35">
        <f>SUM(table[[#Data], [#Totals], [Head''2]])</f>
        <v>103</v>
      </c>
      <c r="H35">
        <v>103</v>
      </c>
      <c r="I35" s="49">
        <f t="shared" si="15"/>
        <v>1</v>
      </c>
      <c r="K35" t="s">
        <v>750</v>
      </c>
      <c r="L35" s="22">
        <f>ROW(table2[[#Data],[Column2]:[Column3]])</f>
        <v>22</v>
      </c>
      <c r="M35" s="23">
        <f>COLUMN(table2[[#Data],[Column2]:[Column3]])</f>
        <v>2</v>
      </c>
      <c r="N35" s="23">
        <f>ROWS(table2[[#Data],[Column2]:[Column3]])</f>
        <v>4</v>
      </c>
      <c r="O35" s="24">
        <f>COLUMNS(table2[[#Data],[Column2]:[Column3]])</f>
        <v>2</v>
      </c>
      <c r="P35" s="22">
        <v>22</v>
      </c>
      <c r="Q35" s="23">
        <v>2</v>
      </c>
      <c r="R35" s="23">
        <v>4</v>
      </c>
      <c r="S35" s="24">
        <v>2</v>
      </c>
      <c r="T35" s="55">
        <f t="shared" si="16"/>
        <v>1</v>
      </c>
      <c r="U35" s="56">
        <f t="shared" si="17"/>
        <v>1</v>
      </c>
      <c r="V35" s="56">
        <f t="shared" si="18"/>
        <v>1</v>
      </c>
      <c r="W35" s="57">
        <f t="shared" si="19"/>
        <v>1</v>
      </c>
    </row>
    <row r="36" spans="6:23">
      <c r="F36" s="5" t="s">
        <v>722</v>
      </c>
      <c r="G36">
        <f>SUM(table[ [#Data], [#Totals], [Head''2] ])</f>
        <v>103</v>
      </c>
      <c r="H36">
        <v>103</v>
      </c>
      <c r="I36" s="49">
        <f t="shared" si="15"/>
        <v>1</v>
      </c>
      <c r="K36" t="s">
        <v>751</v>
      </c>
      <c r="L36" s="22">
        <f>ROW(table2[[#Headers],[#Data],[Column1]])</f>
        <v>22</v>
      </c>
      <c r="M36" s="23">
        <f>COLUMN(table2[[#Headers],[#Data],[Column1]])</f>
        <v>1</v>
      </c>
      <c r="N36" s="23">
        <f>ROWS(table2[[#Headers],[#Data],[Column1]])</f>
        <v>4</v>
      </c>
      <c r="O36" s="24">
        <f>COLUMNS(table2[[#Headers],[#Data],[Column1]])</f>
        <v>1</v>
      </c>
      <c r="P36" s="22">
        <v>22</v>
      </c>
      <c r="Q36" s="23">
        <v>1</v>
      </c>
      <c r="R36" s="23">
        <v>4</v>
      </c>
      <c r="S36" s="24">
        <v>1</v>
      </c>
      <c r="T36" s="55">
        <f t="shared" si="16"/>
        <v>1</v>
      </c>
      <c r="U36" s="56">
        <f t="shared" si="17"/>
        <v>1</v>
      </c>
      <c r="V36" s="56">
        <f t="shared" si="18"/>
        <v>1</v>
      </c>
      <c r="W36" s="57">
        <f t="shared" si="19"/>
        <v>1</v>
      </c>
    </row>
    <row r="37" spans="6:23">
      <c r="F37" s="5" t="s">
        <v>674</v>
      </c>
      <c r="G37">
        <f>SUM(table[[#Data],[#Totals],['#Head3]:[Calced]])</f>
        <v>296</v>
      </c>
      <c r="H37">
        <v>296</v>
      </c>
      <c r="I37" s="49">
        <f t="shared" si="15"/>
        <v>1</v>
      </c>
      <c r="K37" t="s">
        <v>752</v>
      </c>
      <c r="L37" s="25">
        <f>ROW(table2[[#Data],[#Totals],[Column2]:[Column3]])</f>
        <v>22</v>
      </c>
      <c r="M37" s="26">
        <f>COLUMN(table2[[#Data],[#Totals],[Column2]:[Column3]])</f>
        <v>2</v>
      </c>
      <c r="N37" s="26">
        <f>ROWS(table2[[#Data],[#Totals],[Column2]:[Column3]])</f>
        <v>4</v>
      </c>
      <c r="O37" s="27">
        <f>COLUMNS(table2[[#Data],[#Totals],[Column2]:[Column3]])</f>
        <v>2</v>
      </c>
      <c r="P37" s="25">
        <v>22</v>
      </c>
      <c r="Q37" s="26">
        <v>2</v>
      </c>
      <c r="R37" s="26">
        <v>4</v>
      </c>
      <c r="S37" s="27">
        <v>2</v>
      </c>
      <c r="T37" s="52">
        <f t="shared" si="16"/>
        <v>1</v>
      </c>
      <c r="U37" s="58">
        <f t="shared" si="17"/>
        <v>1</v>
      </c>
      <c r="V37" s="58">
        <f t="shared" si="18"/>
        <v>1</v>
      </c>
      <c r="W37" s="53">
        <f t="shared" si="19"/>
        <v>1</v>
      </c>
    </row>
    <row r="38" spans="6:23">
      <c r="F38" s="5" t="s">
        <v>723</v>
      </c>
      <c r="G38">
        <f>SUM(table[ [#Data],[#Totals],['#Head3]:[Calced] ])</f>
        <v>296</v>
      </c>
      <c r="H38">
        <v>296</v>
      </c>
      <c r="I38" s="49">
        <f t="shared" si="15"/>
        <v>1</v>
      </c>
    </row>
    <row r="39" spans="6:23">
      <c r="F39" s="5" t="s">
        <v>724</v>
      </c>
      <c r="G39">
        <f>SUM(table[[#Data], [#Totals], ['#Head3]:[Calced]])</f>
        <v>296</v>
      </c>
      <c r="H39">
        <v>296</v>
      </c>
      <c r="I39" s="49">
        <f t="shared" si="15"/>
        <v>1</v>
      </c>
    </row>
    <row r="40" spans="6:23">
      <c r="F40" s="5" t="s">
        <v>725</v>
      </c>
      <c r="G40">
        <f>SUM(table[ [#Data], [#Totals], ['#Head3]:[Calced] ])</f>
        <v>296</v>
      </c>
      <c r="H40">
        <v>296</v>
      </c>
      <c r="I40" s="49">
        <f t="shared" si="15"/>
        <v>1</v>
      </c>
    </row>
  </sheetData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dimension ref="A1:J33"/>
  <sheetViews>
    <sheetView workbookViewId="0"/>
  </sheetViews>
  <sheetFormatPr defaultRowHeight="15"/>
  <cols>
    <col min="1" max="1" width="35.7109375" customWidth="1"/>
    <col min="2" max="3" width="10.7109375" customWidth="1"/>
    <col min="4" max="6" width="5.7109375" customWidth="1"/>
    <col min="7" max="10" width="10.7109375" customWidth="1"/>
  </cols>
  <sheetData>
    <row r="1" spans="1:10" ht="22.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3" spans="1:10" ht="18">
      <c r="A3" s="2" t="s">
        <v>648</v>
      </c>
      <c r="B3" s="2"/>
      <c r="C3" s="2"/>
      <c r="D3" s="2"/>
      <c r="E3" s="2"/>
      <c r="F3" s="2"/>
      <c r="G3" s="2"/>
      <c r="H3" s="2"/>
      <c r="I3" s="2"/>
      <c r="J3" s="2"/>
    </row>
    <row r="5" spans="1:10" ht="15.75">
      <c r="A5" s="8" t="s">
        <v>649</v>
      </c>
      <c r="B5" s="3"/>
      <c r="C5" s="3"/>
      <c r="D5" s="3"/>
      <c r="E5" s="3"/>
    </row>
    <row r="6" spans="1:10">
      <c r="A6" s="4" t="s">
        <v>4</v>
      </c>
      <c r="B6" s="4" t="s">
        <v>5</v>
      </c>
      <c r="C6" s="4" t="s">
        <v>6</v>
      </c>
      <c r="D6" s="4" t="s">
        <v>7</v>
      </c>
      <c r="E6" s="4"/>
    </row>
    <row r="7" spans="1:10">
      <c r="A7" s="5" t="s">
        <v>226</v>
      </c>
      <c r="B7" s="9">
        <f>FLOOR(-15,-10)</f>
        <v>-10</v>
      </c>
      <c r="C7" s="9">
        <v>-10</v>
      </c>
      <c r="D7" s="49">
        <f t="shared" ref="D7:D8" si="0">IF(IF(AND(ISERROR(B7),ISERROR(C7)),ERROR.TYPE(B7)=ERROR.TYPE(C7),IF(AND(NOT(ISERROR(B7)),NOT(ISERROR(C7))),AND(ISBLANK(B7)=ISBLANK(C7),B7=C7))),1,"ERR!")</f>
        <v>1</v>
      </c>
    </row>
    <row r="8" spans="1:10">
      <c r="A8" s="5" t="s">
        <v>635</v>
      </c>
      <c r="B8" s="9">
        <f>CEILING(-15,-10)</f>
        <v>-20</v>
      </c>
      <c r="C8" s="9">
        <v>-20</v>
      </c>
      <c r="D8" s="49">
        <f t="shared" si="0"/>
        <v>1</v>
      </c>
    </row>
    <row r="10" spans="1:10" ht="15.75">
      <c r="A10" s="8" t="s">
        <v>650</v>
      </c>
      <c r="B10" s="3"/>
      <c r="C10" s="3"/>
      <c r="D10" s="3"/>
      <c r="E10" s="3"/>
    </row>
    <row r="11" spans="1:10">
      <c r="A11" s="4" t="s">
        <v>4</v>
      </c>
      <c r="B11" s="4" t="s">
        <v>5</v>
      </c>
      <c r="C11" s="4" t="s">
        <v>6</v>
      </c>
      <c r="D11" s="4" t="s">
        <v>7</v>
      </c>
      <c r="E11" s="4"/>
    </row>
    <row r="12" spans="1:10">
      <c r="A12" s="5" t="s">
        <v>227</v>
      </c>
      <c r="B12" s="9">
        <f>PERCENTRANK($E$12:$E$15,2)</f>
        <v>0.33300000000000002</v>
      </c>
      <c r="C12" s="9">
        <v>0.33300000000000002</v>
      </c>
      <c r="D12" s="49">
        <f t="shared" ref="D12:D21" si="1">IF(IF(AND(ISERROR(B12),ISERROR(C12)),ERROR.TYPE(B12)=ERROR.TYPE(C12),IF(AND(NOT(ISERROR(B12)),NOT(ISERROR(C12))),AND(ISBLANK(B12)=ISBLANK(C12),B12=C12))),1,"ERR!")</f>
        <v>1</v>
      </c>
      <c r="E12">
        <v>1</v>
      </c>
    </row>
    <row r="13" spans="1:10">
      <c r="A13" s="5" t="s">
        <v>228</v>
      </c>
      <c r="B13" s="9">
        <f>PERCENTRANK($E$12:$E$15,2,1)</f>
        <v>0.3</v>
      </c>
      <c r="C13">
        <v>0.3</v>
      </c>
      <c r="D13" s="49">
        <f t="shared" si="1"/>
        <v>1</v>
      </c>
      <c r="E13">
        <v>2</v>
      </c>
    </row>
    <row r="14" spans="1:10">
      <c r="A14" s="5" t="s">
        <v>229</v>
      </c>
      <c r="B14" s="9">
        <f>PERCENTRANK($E$12:$E$15,2,3)</f>
        <v>0.33300000000000002</v>
      </c>
      <c r="C14">
        <v>0.33300000000000002</v>
      </c>
      <c r="D14" s="49">
        <f t="shared" si="1"/>
        <v>1</v>
      </c>
      <c r="E14">
        <v>3</v>
      </c>
    </row>
    <row r="15" spans="1:10">
      <c r="A15" s="5" t="s">
        <v>230</v>
      </c>
      <c r="B15" s="9">
        <f>PERCENTRANK($E$12:$E$15,2,5)</f>
        <v>0.33333000000000002</v>
      </c>
      <c r="C15">
        <v>0.33333000000000002</v>
      </c>
      <c r="D15" s="49">
        <f t="shared" si="1"/>
        <v>1</v>
      </c>
      <c r="E15">
        <v>4</v>
      </c>
    </row>
    <row r="16" spans="1:10">
      <c r="A16" s="5" t="s">
        <v>231</v>
      </c>
      <c r="B16" s="5">
        <f ca="1">INDIRECT("$E$16")</f>
        <v>5</v>
      </c>
      <c r="C16">
        <v>5</v>
      </c>
      <c r="D16" s="49">
        <f t="shared" ca="1" si="1"/>
        <v>1</v>
      </c>
      <c r="E16">
        <v>5</v>
      </c>
    </row>
    <row r="17" spans="1:10">
      <c r="A17" s="5" t="s">
        <v>232</v>
      </c>
      <c r="B17" s="5">
        <f ca="1">INDIRECT("$E$17",TRUE)</f>
        <v>6</v>
      </c>
      <c r="C17">
        <v>6</v>
      </c>
      <c r="D17" s="49">
        <f t="shared" ca="1" si="1"/>
        <v>1</v>
      </c>
      <c r="E17">
        <v>6</v>
      </c>
    </row>
    <row r="18" spans="1:10">
      <c r="A18" s="5" t="s">
        <v>233</v>
      </c>
      <c r="B18" t="str">
        <f>ADDRESS(18,5)</f>
        <v>$E$18</v>
      </c>
      <c r="C18" t="s">
        <v>234</v>
      </c>
      <c r="D18" s="49">
        <f t="shared" si="1"/>
        <v>1</v>
      </c>
    </row>
    <row r="19" spans="1:10">
      <c r="A19" s="5" t="s">
        <v>235</v>
      </c>
      <c r="B19" t="str">
        <f>ADDRESS(19,5,4)</f>
        <v>E19</v>
      </c>
      <c r="C19" t="s">
        <v>236</v>
      </c>
      <c r="D19" s="49">
        <f t="shared" si="1"/>
        <v>1</v>
      </c>
    </row>
    <row r="20" spans="1:10">
      <c r="A20" s="5" t="s">
        <v>237</v>
      </c>
      <c r="B20" t="str">
        <f>ADDRESS(20,5,4,TRUE)</f>
        <v>E20</v>
      </c>
      <c r="C20" t="s">
        <v>238</v>
      </c>
      <c r="D20" s="49">
        <f t="shared" si="1"/>
        <v>1</v>
      </c>
      <c r="G20" s="10" t="s">
        <v>247</v>
      </c>
      <c r="H20" s="10"/>
      <c r="I20" s="10"/>
      <c r="J20" s="10"/>
    </row>
    <row r="21" spans="1:10">
      <c r="A21" s="5" t="s">
        <v>239</v>
      </c>
      <c r="B21" t="str">
        <f>ADDRESS(21,5,4,TRUE,"Param")</f>
        <v>Param!E21</v>
      </c>
      <c r="C21" t="s">
        <v>240</v>
      </c>
      <c r="D21" s="49">
        <f t="shared" si="1"/>
        <v>1</v>
      </c>
      <c r="G21">
        <v>16</v>
      </c>
    </row>
    <row r="22" spans="1:10">
      <c r="G22">
        <v>17</v>
      </c>
    </row>
    <row r="23" spans="1:10" ht="15.75">
      <c r="A23" s="8" t="s">
        <v>651</v>
      </c>
      <c r="B23" s="3"/>
      <c r="C23" s="3"/>
      <c r="D23" s="3"/>
      <c r="E23" s="3"/>
      <c r="G23">
        <v>18</v>
      </c>
    </row>
    <row r="24" spans="1:10">
      <c r="A24" s="4" t="s">
        <v>4</v>
      </c>
      <c r="B24" s="4" t="s">
        <v>5</v>
      </c>
      <c r="C24" s="4" t="s">
        <v>6</v>
      </c>
      <c r="D24" s="4" t="s">
        <v>7</v>
      </c>
      <c r="E24" s="4"/>
      <c r="G24">
        <v>19</v>
      </c>
    </row>
    <row r="25" spans="1:10">
      <c r="A25" s="5" t="s">
        <v>241</v>
      </c>
      <c r="B25" t="b">
        <f>IF(FALSE,)</f>
        <v>0</v>
      </c>
      <c r="C25" t="b">
        <v>0</v>
      </c>
      <c r="D25" s="49">
        <f t="shared" ref="D25:D28" si="2">IF(IF(AND(ISERROR(B25),ISERROR(C25)),ERROR.TYPE(B25)=ERROR.TYPE(C25),IF(AND(NOT(ISERROR(B25)),NOT(ISERROR(C25))),AND(ISBLANK(B25)=ISBLANK(C25),B25=C25))),1,"ERR!")</f>
        <v>1</v>
      </c>
    </row>
    <row r="26" spans="1:10">
      <c r="A26" s="5" t="s">
        <v>242</v>
      </c>
      <c r="B26">
        <f>IF(TRUE,)</f>
        <v>0</v>
      </c>
      <c r="C26">
        <v>0</v>
      </c>
      <c r="D26" s="49">
        <f t="shared" si="2"/>
        <v>1</v>
      </c>
    </row>
    <row r="27" spans="1:10">
      <c r="A27" s="5" t="s">
        <v>243</v>
      </c>
      <c r="B27">
        <f>IF(FALSE,,)</f>
        <v>0</v>
      </c>
      <c r="C27">
        <v>0</v>
      </c>
      <c r="D27" s="49">
        <f t="shared" si="2"/>
        <v>1</v>
      </c>
    </row>
    <row r="28" spans="1:10">
      <c r="A28" s="5" t="s">
        <v>244</v>
      </c>
      <c r="B28">
        <f>IF(TRUE,,)</f>
        <v>0</v>
      </c>
      <c r="C28">
        <v>0</v>
      </c>
      <c r="D28" s="49">
        <f t="shared" si="2"/>
        <v>1</v>
      </c>
    </row>
    <row r="30" spans="1:10" ht="15.75">
      <c r="A30" s="8" t="s">
        <v>652</v>
      </c>
      <c r="B30" s="3"/>
      <c r="C30" s="3"/>
      <c r="D30" s="3"/>
      <c r="E30" s="3"/>
    </row>
    <row r="31" spans="1:10">
      <c r="A31" s="4" t="s">
        <v>4</v>
      </c>
      <c r="B31" s="4" t="s">
        <v>5</v>
      </c>
      <c r="C31" s="4" t="s">
        <v>6</v>
      </c>
      <c r="D31" s="4" t="s">
        <v>7</v>
      </c>
      <c r="E31" s="4"/>
    </row>
    <row r="32" spans="1:10">
      <c r="A32" s="5" t="s">
        <v>245</v>
      </c>
      <c r="B32">
        <f>SUM(1,)</f>
        <v>1</v>
      </c>
      <c r="C32">
        <v>1</v>
      </c>
      <c r="D32" s="49">
        <f t="shared" ref="D32:D33" si="3">IF(IF(AND(ISERROR(B32),ISERROR(C32)),ERROR.TYPE(B32)=ERROR.TYPE(C32),IF(AND(NOT(ISERROR(B32)),NOT(ISERROR(C32))),AND(ISBLANK(B32)=ISBLANK(C32),B32=C32))),1,"ERR!")</f>
        <v>1</v>
      </c>
    </row>
    <row r="33" spans="1:4">
      <c r="A33" s="5" t="s">
        <v>246</v>
      </c>
      <c r="B33">
        <f>SUM( 1, 1, , )</f>
        <v>2</v>
      </c>
      <c r="C33">
        <v>2</v>
      </c>
      <c r="D33" s="49">
        <f t="shared" si="3"/>
        <v>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R145"/>
  <sheetViews>
    <sheetView workbookViewId="0"/>
  </sheetViews>
  <sheetFormatPr defaultRowHeight="15"/>
  <cols>
    <col min="1" max="1" width="5.7109375" customWidth="1"/>
    <col min="2" max="2" width="15.7109375" customWidth="1"/>
    <col min="3" max="4" width="8.7109375" customWidth="1"/>
    <col min="5" max="9" width="5.7109375" customWidth="1"/>
    <col min="10" max="10" width="15.7109375" customWidth="1"/>
    <col min="11" max="12" width="8.7109375" customWidth="1"/>
    <col min="13" max="14" width="5.7109375" customWidth="1"/>
    <col min="15" max="15" width="20.7109375" customWidth="1"/>
    <col min="16" max="17" width="8.7109375" customWidth="1"/>
    <col min="18" max="18" width="5.7109375" customWidth="1"/>
  </cols>
  <sheetData>
    <row r="1" spans="1:18" ht="22.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3" spans="1:18" ht="18">
      <c r="A3" s="2" t="s">
        <v>653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5" spans="1:18" ht="15.75">
      <c r="A5" s="8" t="s">
        <v>654</v>
      </c>
      <c r="B5" s="3"/>
      <c r="C5" s="3"/>
      <c r="D5" s="3"/>
      <c r="E5" s="3"/>
      <c r="F5" s="3"/>
      <c r="G5" s="3"/>
      <c r="I5" s="8" t="s">
        <v>655</v>
      </c>
      <c r="J5" s="3"/>
      <c r="K5" s="3"/>
      <c r="L5" s="3"/>
      <c r="M5" s="3"/>
      <c r="O5" s="8" t="s">
        <v>659</v>
      </c>
      <c r="P5" s="3"/>
      <c r="Q5" s="3"/>
      <c r="R5" s="3"/>
    </row>
    <row r="6" spans="1:18">
      <c r="A6" s="4" t="s">
        <v>248</v>
      </c>
      <c r="B6" s="4" t="s">
        <v>249</v>
      </c>
      <c r="C6" s="4" t="s">
        <v>5</v>
      </c>
      <c r="D6" s="4" t="s">
        <v>6</v>
      </c>
      <c r="E6" s="4" t="s">
        <v>7</v>
      </c>
      <c r="F6" s="4" t="s">
        <v>637</v>
      </c>
      <c r="G6" s="4"/>
      <c r="I6" s="4" t="s">
        <v>248</v>
      </c>
      <c r="J6" s="4" t="s">
        <v>249</v>
      </c>
      <c r="K6" s="4" t="s">
        <v>5</v>
      </c>
      <c r="L6" s="4" t="s">
        <v>6</v>
      </c>
      <c r="M6" s="4" t="s">
        <v>7</v>
      </c>
      <c r="O6" s="4" t="s">
        <v>249</v>
      </c>
      <c r="P6" s="4" t="s">
        <v>5</v>
      </c>
      <c r="Q6" s="4" t="s">
        <v>6</v>
      </c>
      <c r="R6" s="4" t="s">
        <v>7</v>
      </c>
    </row>
    <row r="7" spans="1:18">
      <c r="A7">
        <v>0</v>
      </c>
      <c r="B7" t="s">
        <v>250</v>
      </c>
      <c r="C7">
        <f>COUNT(1)</f>
        <v>1</v>
      </c>
      <c r="D7" s="9">
        <v>1</v>
      </c>
      <c r="E7" s="49">
        <f t="shared" ref="E7:E70" si="0">IF(IF(AND(ISERROR(C7),ISERROR(D7)),ERROR.TYPE(C7)=ERROR.TYPE(D7),IF(AND(NOT(ISERROR(C7)),NOT(ISERROR(D7))),AND(ISBLANK(C7)=ISBLANK(D7),C7=D7))),1,"ERR!")</f>
        <v>1</v>
      </c>
      <c r="F7">
        <v>1</v>
      </c>
      <c r="G7">
        <v>2</v>
      </c>
      <c r="I7">
        <v>204</v>
      </c>
      <c r="J7" t="s">
        <v>453</v>
      </c>
      <c r="K7" t="str">
        <f>USDOLLAR(1,0)</f>
        <v>1 €</v>
      </c>
      <c r="L7" s="5" t="s">
        <v>264</v>
      </c>
      <c r="M7" s="49">
        <f t="shared" ref="M7:M31" si="1">IF(IF(AND(ISERROR(K7),ISERROR(L7)),ERROR.TYPE(K7)=ERROR.TYPE(L7),IF(AND(NOT(ISERROR(K7)),NOT(ISERROR(L7))),AND(ISBLANK(K7)=ISBLANK(L7),K7=L7))),1,"ERR!")</f>
        <v>1</v>
      </c>
      <c r="O7" t="s">
        <v>610</v>
      </c>
      <c r="P7">
        <f>AVERAGEIF($F$7:$G$7,1)</f>
        <v>1</v>
      </c>
      <c r="Q7">
        <v>1</v>
      </c>
      <c r="R7" s="49">
        <f t="shared" ref="R7:R11" si="2">IF(IF(AND(ISERROR(P7),ISERROR(Q7)),ERROR.TYPE(P7)=ERROR.TYPE(Q7),IF(AND(NOT(ISERROR(P7)),NOT(ISERROR(Q7))),AND(ISBLANK(P7)=ISBLANK(Q7),P7=Q7))),1,"ERR!")</f>
        <v>1</v>
      </c>
    </row>
    <row r="8" spans="1:18">
      <c r="A8">
        <v>1</v>
      </c>
      <c r="B8" t="s">
        <v>251</v>
      </c>
      <c r="C8">
        <f>IF(1,1)</f>
        <v>1</v>
      </c>
      <c r="D8">
        <v>1</v>
      </c>
      <c r="E8" s="49">
        <f t="shared" si="0"/>
        <v>1</v>
      </c>
      <c r="F8">
        <v>1</v>
      </c>
      <c r="G8">
        <v>2</v>
      </c>
      <c r="I8">
        <v>205</v>
      </c>
      <c r="J8" t="s">
        <v>454</v>
      </c>
      <c r="K8">
        <f>FINDB("A","A")</f>
        <v>1</v>
      </c>
      <c r="L8">
        <v>1</v>
      </c>
      <c r="M8" s="49">
        <f t="shared" si="1"/>
        <v>1</v>
      </c>
      <c r="O8" t="s">
        <v>611</v>
      </c>
      <c r="P8">
        <f>AVERAGEIFS($F$7:$G$7,$F$8:$G$8,1)</f>
        <v>1</v>
      </c>
      <c r="Q8">
        <v>1</v>
      </c>
      <c r="R8" s="49">
        <f t="shared" si="2"/>
        <v>1</v>
      </c>
    </row>
    <row r="9" spans="1:18">
      <c r="A9">
        <v>2</v>
      </c>
      <c r="B9" t="s">
        <v>252</v>
      </c>
      <c r="C9" t="b">
        <f>ISNA($F$22)</f>
        <v>1</v>
      </c>
      <c r="D9" t="b">
        <v>1</v>
      </c>
      <c r="E9" s="49">
        <f t="shared" si="0"/>
        <v>1</v>
      </c>
      <c r="F9">
        <v>1</v>
      </c>
      <c r="G9">
        <v>-2</v>
      </c>
      <c r="I9">
        <v>206</v>
      </c>
      <c r="J9" t="s">
        <v>455</v>
      </c>
      <c r="K9">
        <f>SEARCHB("A","A")</f>
        <v>1</v>
      </c>
      <c r="L9">
        <v>1</v>
      </c>
      <c r="M9" s="49">
        <f t="shared" si="1"/>
        <v>1</v>
      </c>
      <c r="O9" t="s">
        <v>612</v>
      </c>
      <c r="P9">
        <f>COUNTIFS($F$7:$G$7,$F$8:$G$8)</f>
        <v>0</v>
      </c>
      <c r="Q9">
        <v>0</v>
      </c>
      <c r="R9" s="49">
        <f t="shared" si="2"/>
        <v>1</v>
      </c>
    </row>
    <row r="10" spans="1:18">
      <c r="A10">
        <v>3</v>
      </c>
      <c r="B10" t="s">
        <v>253</v>
      </c>
      <c r="C10" t="b">
        <f>ISERROR($F$22)</f>
        <v>1</v>
      </c>
      <c r="D10" t="b">
        <v>1</v>
      </c>
      <c r="E10" s="49">
        <f t="shared" si="0"/>
        <v>1</v>
      </c>
      <c r="I10">
        <v>207</v>
      </c>
      <c r="J10" t="s">
        <v>456</v>
      </c>
      <c r="K10" t="str">
        <f>REPLACEB("A",1,1,"A")</f>
        <v>A</v>
      </c>
      <c r="L10" t="s">
        <v>283</v>
      </c>
      <c r="M10" s="49">
        <f t="shared" si="1"/>
        <v>1</v>
      </c>
      <c r="O10" t="s">
        <v>613</v>
      </c>
      <c r="P10">
        <f>IFERROR(NA(),1)</f>
        <v>1</v>
      </c>
      <c r="Q10">
        <v>1</v>
      </c>
      <c r="R10" s="49">
        <f t="shared" si="2"/>
        <v>1</v>
      </c>
    </row>
    <row r="11" spans="1:18">
      <c r="A11">
        <v>4</v>
      </c>
      <c r="B11" t="s">
        <v>254</v>
      </c>
      <c r="C11">
        <f>SUM(1)</f>
        <v>1</v>
      </c>
      <c r="D11">
        <v>1</v>
      </c>
      <c r="E11" s="49">
        <f t="shared" si="0"/>
        <v>1</v>
      </c>
      <c r="I11">
        <v>208</v>
      </c>
      <c r="J11" t="s">
        <v>457</v>
      </c>
      <c r="K11" t="str">
        <f>LEFTB("A")</f>
        <v>A</v>
      </c>
      <c r="L11" t="s">
        <v>283</v>
      </c>
      <c r="M11" s="49">
        <f t="shared" si="1"/>
        <v>1</v>
      </c>
      <c r="O11" t="s">
        <v>614</v>
      </c>
      <c r="P11">
        <f>SUMIFS($F$7:$G$7,$F$8:$G$8,1)</f>
        <v>1</v>
      </c>
      <c r="Q11">
        <v>1</v>
      </c>
      <c r="R11" s="49">
        <f t="shared" si="2"/>
        <v>1</v>
      </c>
    </row>
    <row r="12" spans="1:18">
      <c r="A12">
        <v>5</v>
      </c>
      <c r="B12" t="s">
        <v>255</v>
      </c>
      <c r="C12">
        <f>AVERAGE(1)</f>
        <v>1</v>
      </c>
      <c r="D12">
        <v>1</v>
      </c>
      <c r="E12" s="49">
        <f t="shared" si="0"/>
        <v>1</v>
      </c>
      <c r="I12">
        <v>209</v>
      </c>
      <c r="J12" t="s">
        <v>458</v>
      </c>
      <c r="K12" t="str">
        <f>RIGHTB("A")</f>
        <v>A</v>
      </c>
      <c r="L12" t="s">
        <v>283</v>
      </c>
      <c r="M12" s="49">
        <f t="shared" si="1"/>
        <v>1</v>
      </c>
    </row>
    <row r="13" spans="1:18" ht="15.75">
      <c r="A13">
        <v>6</v>
      </c>
      <c r="B13" t="s">
        <v>256</v>
      </c>
      <c r="C13">
        <f>MIN(1)</f>
        <v>1</v>
      </c>
      <c r="D13">
        <v>1</v>
      </c>
      <c r="E13" s="49">
        <f t="shared" si="0"/>
        <v>1</v>
      </c>
      <c r="I13">
        <v>210</v>
      </c>
      <c r="J13" t="s">
        <v>459</v>
      </c>
      <c r="K13" t="str">
        <f>MIDB("A",1,1)</f>
        <v>A</v>
      </c>
      <c r="L13" t="s">
        <v>283</v>
      </c>
      <c r="M13" s="49">
        <f t="shared" si="1"/>
        <v>1</v>
      </c>
      <c r="O13" s="8" t="s">
        <v>660</v>
      </c>
      <c r="P13" s="3"/>
      <c r="Q13" s="3"/>
      <c r="R13" s="3"/>
    </row>
    <row r="14" spans="1:18">
      <c r="A14">
        <v>7</v>
      </c>
      <c r="B14" t="s">
        <v>257</v>
      </c>
      <c r="C14">
        <f>MAX(1)</f>
        <v>1</v>
      </c>
      <c r="D14">
        <v>1</v>
      </c>
      <c r="E14" s="49">
        <f t="shared" si="0"/>
        <v>1</v>
      </c>
      <c r="I14">
        <v>211</v>
      </c>
      <c r="J14" t="s">
        <v>460</v>
      </c>
      <c r="K14">
        <f>LENB("A")</f>
        <v>1</v>
      </c>
      <c r="L14">
        <v>1</v>
      </c>
      <c r="M14" s="49">
        <f t="shared" si="1"/>
        <v>1</v>
      </c>
      <c r="O14" s="4" t="s">
        <v>249</v>
      </c>
      <c r="P14" s="4" t="s">
        <v>5</v>
      </c>
      <c r="Q14" s="4" t="s">
        <v>6</v>
      </c>
      <c r="R14" s="4" t="s">
        <v>7</v>
      </c>
    </row>
    <row r="15" spans="1:18">
      <c r="A15">
        <v>8</v>
      </c>
      <c r="B15" t="s">
        <v>258</v>
      </c>
      <c r="C15">
        <f>ROW(A1)</f>
        <v>1</v>
      </c>
      <c r="D15">
        <v>1</v>
      </c>
      <c r="E15" s="49">
        <f t="shared" si="0"/>
        <v>1</v>
      </c>
      <c r="I15">
        <v>212</v>
      </c>
      <c r="J15" t="s">
        <v>461</v>
      </c>
      <c r="K15">
        <f>ROUNDUP(0.1,0)</f>
        <v>1</v>
      </c>
      <c r="L15">
        <v>1</v>
      </c>
      <c r="M15" s="49">
        <f t="shared" si="1"/>
        <v>1</v>
      </c>
      <c r="O15" t="s">
        <v>516</v>
      </c>
      <c r="P15">
        <f>ACCRINT(1,1,366,1,1,1)</f>
        <v>1</v>
      </c>
      <c r="Q15">
        <v>1</v>
      </c>
      <c r="R15" s="49">
        <f t="shared" ref="R15:R78" si="3">IF(IF(AND(ISERROR(P15),ISERROR(Q15)),ERROR.TYPE(P15)=ERROR.TYPE(Q15),IF(AND(NOT(ISERROR(P15)),NOT(ISERROR(Q15))),AND(ISBLANK(P15)=ISBLANK(Q15),P15=Q15))),1,"ERR!")</f>
        <v>1</v>
      </c>
    </row>
    <row r="16" spans="1:18">
      <c r="A16">
        <v>9</v>
      </c>
      <c r="B16" t="s">
        <v>259</v>
      </c>
      <c r="C16">
        <f>COLUMN(A1)</f>
        <v>1</v>
      </c>
      <c r="D16">
        <v>1</v>
      </c>
      <c r="E16" s="49">
        <f t="shared" si="0"/>
        <v>1</v>
      </c>
      <c r="I16">
        <v>213</v>
      </c>
      <c r="J16" t="s">
        <v>462</v>
      </c>
      <c r="K16">
        <f>ROUNDDOWN(1.9,0)</f>
        <v>1</v>
      </c>
      <c r="L16">
        <v>1</v>
      </c>
      <c r="M16" s="49">
        <f t="shared" si="1"/>
        <v>1</v>
      </c>
      <c r="O16" t="s">
        <v>517</v>
      </c>
      <c r="P16">
        <f>ACCRINTM(1,1,1,1)</f>
        <v>0</v>
      </c>
      <c r="Q16">
        <v>0</v>
      </c>
      <c r="R16" s="49">
        <f t="shared" si="3"/>
        <v>1</v>
      </c>
    </row>
    <row r="17" spans="1:18">
      <c r="A17">
        <v>10</v>
      </c>
      <c r="B17" t="s">
        <v>260</v>
      </c>
      <c r="C17" t="e">
        <f>NA()</f>
        <v>#N/A</v>
      </c>
      <c r="D17" t="e">
        <v>#N/A</v>
      </c>
      <c r="E17" s="49">
        <f t="shared" si="0"/>
        <v>1</v>
      </c>
      <c r="I17">
        <v>214</v>
      </c>
      <c r="J17" t="s">
        <v>463</v>
      </c>
      <c r="K17" t="str">
        <f>ASC("Ａ")</f>
        <v>Ａ</v>
      </c>
      <c r="L17" t="s">
        <v>283</v>
      </c>
      <c r="M17" s="49" t="str">
        <f t="shared" si="1"/>
        <v>ERR!</v>
      </c>
      <c r="O17" t="s">
        <v>518</v>
      </c>
      <c r="P17">
        <f>AMORDEGRC(100,1,10,1,1,0.1)</f>
        <v>25</v>
      </c>
      <c r="Q17">
        <v>25</v>
      </c>
      <c r="R17" s="49">
        <f t="shared" si="3"/>
        <v>1</v>
      </c>
    </row>
    <row r="18" spans="1:18">
      <c r="A18">
        <v>11</v>
      </c>
      <c r="B18" t="s">
        <v>261</v>
      </c>
      <c r="C18" s="11">
        <f>NPV(1,2)</f>
        <v>1</v>
      </c>
      <c r="D18">
        <v>1</v>
      </c>
      <c r="E18" s="49">
        <f t="shared" si="0"/>
        <v>1</v>
      </c>
      <c r="I18">
        <v>215</v>
      </c>
      <c r="J18" t="s">
        <v>464</v>
      </c>
      <c r="K18" t="str">
        <f>DBCS("A")</f>
        <v>A</v>
      </c>
      <c r="L18" t="s">
        <v>677</v>
      </c>
      <c r="M18" s="49" t="str">
        <f t="shared" si="1"/>
        <v>ERR!</v>
      </c>
      <c r="O18" t="s">
        <v>519</v>
      </c>
      <c r="P18">
        <f>AMORLINC(100,1,10,1,1,0.1)</f>
        <v>10</v>
      </c>
      <c r="Q18">
        <v>10</v>
      </c>
      <c r="R18" s="49">
        <f t="shared" si="3"/>
        <v>1</v>
      </c>
    </row>
    <row r="19" spans="1:18">
      <c r="A19">
        <v>12</v>
      </c>
      <c r="B19" t="s">
        <v>262</v>
      </c>
      <c r="C19">
        <f>STDEV(1,1)</f>
        <v>0</v>
      </c>
      <c r="D19">
        <v>0</v>
      </c>
      <c r="E19" s="49">
        <f t="shared" si="0"/>
        <v>1</v>
      </c>
      <c r="I19">
        <v>219</v>
      </c>
      <c r="J19" t="s">
        <v>465</v>
      </c>
      <c r="K19" t="str">
        <f>ADDRESS(1,1)</f>
        <v>$A$1</v>
      </c>
      <c r="L19" t="s">
        <v>209</v>
      </c>
      <c r="M19" s="49">
        <f t="shared" si="1"/>
        <v>1</v>
      </c>
      <c r="O19" t="s">
        <v>520</v>
      </c>
      <c r="P19">
        <f>BESSELI(0,1)</f>
        <v>0</v>
      </c>
      <c r="Q19">
        <v>0</v>
      </c>
      <c r="R19" s="49">
        <f t="shared" si="3"/>
        <v>1</v>
      </c>
    </row>
    <row r="20" spans="1:18">
      <c r="A20">
        <v>13</v>
      </c>
      <c r="B20" t="s">
        <v>263</v>
      </c>
      <c r="C20" t="str">
        <f>DOLLAR(1,0)</f>
        <v>1 €</v>
      </c>
      <c r="D20" s="5" t="s">
        <v>264</v>
      </c>
      <c r="E20" s="49">
        <f t="shared" si="0"/>
        <v>1</v>
      </c>
      <c r="I20">
        <v>220</v>
      </c>
      <c r="J20" t="s">
        <v>466</v>
      </c>
      <c r="K20">
        <f>DAYS360($D$69,$D$69)</f>
        <v>0</v>
      </c>
      <c r="L20">
        <v>0</v>
      </c>
      <c r="M20" s="49">
        <f t="shared" si="1"/>
        <v>1</v>
      </c>
      <c r="O20" t="s">
        <v>521</v>
      </c>
      <c r="P20">
        <f>BESSELJ(0,1)</f>
        <v>0</v>
      </c>
      <c r="Q20">
        <v>0</v>
      </c>
      <c r="R20" s="49">
        <f t="shared" si="3"/>
        <v>1</v>
      </c>
    </row>
    <row r="21" spans="1:18">
      <c r="A21">
        <v>14</v>
      </c>
      <c r="B21" t="s">
        <v>265</v>
      </c>
      <c r="C21" t="str">
        <f>FIXED(1,0)</f>
        <v>1</v>
      </c>
      <c r="D21" s="5" t="s">
        <v>266</v>
      </c>
      <c r="E21" s="49">
        <f t="shared" si="0"/>
        <v>1</v>
      </c>
      <c r="F21" s="4" t="s">
        <v>637</v>
      </c>
      <c r="G21" s="4"/>
      <c r="I21">
        <v>221</v>
      </c>
      <c r="J21" t="s">
        <v>467</v>
      </c>
      <c r="K21" s="13">
        <f ca="1">TODAY()</f>
        <v>39993</v>
      </c>
      <c r="M21" s="49">
        <f ca="1">IF(IF(NOT(ISERROR(K21)),ISNUMBER(K21)),1,"ERR!")</f>
        <v>1</v>
      </c>
      <c r="O21" t="s">
        <v>522</v>
      </c>
      <c r="P21">
        <f>BESSELK(1,0)</f>
        <v>0.42102442108341798</v>
      </c>
      <c r="Q21">
        <v>0.42102442108341798</v>
      </c>
      <c r="R21" s="49">
        <f t="shared" si="3"/>
        <v>1</v>
      </c>
    </row>
    <row r="22" spans="1:18">
      <c r="A22">
        <v>15</v>
      </c>
      <c r="B22" t="s">
        <v>267</v>
      </c>
      <c r="C22">
        <f>SIN(PI()/2)</f>
        <v>1</v>
      </c>
      <c r="D22">
        <v>1</v>
      </c>
      <c r="E22" s="49">
        <f t="shared" si="0"/>
        <v>1</v>
      </c>
      <c r="F22" t="e">
        <v>#N/A</v>
      </c>
      <c r="G22">
        <v>1</v>
      </c>
      <c r="I22">
        <v>222</v>
      </c>
      <c r="J22" t="s">
        <v>468</v>
      </c>
      <c r="K22" s="11">
        <f>VDB(1,1,1,1,1)</f>
        <v>0</v>
      </c>
      <c r="L22">
        <v>0</v>
      </c>
      <c r="M22" s="49">
        <f t="shared" si="1"/>
        <v>1</v>
      </c>
      <c r="O22" t="s">
        <v>523</v>
      </c>
      <c r="P22">
        <f>BESSELY(1,0)</f>
        <v>8.8256971397708064E-2</v>
      </c>
      <c r="Q22">
        <v>8.8256971397708064E-2</v>
      </c>
      <c r="R22" s="49">
        <f t="shared" si="3"/>
        <v>1</v>
      </c>
    </row>
    <row r="23" spans="1:18">
      <c r="A23">
        <v>16</v>
      </c>
      <c r="B23" t="s">
        <v>268</v>
      </c>
      <c r="C23">
        <f>COS(0)</f>
        <v>1</v>
      </c>
      <c r="D23">
        <v>1</v>
      </c>
      <c r="E23" s="49">
        <f t="shared" si="0"/>
        <v>1</v>
      </c>
      <c r="I23">
        <v>227</v>
      </c>
      <c r="J23" t="s">
        <v>469</v>
      </c>
      <c r="K23">
        <f>MEDIAN(1)</f>
        <v>1</v>
      </c>
      <c r="L23">
        <v>1</v>
      </c>
      <c r="M23" s="49">
        <f t="shared" si="1"/>
        <v>1</v>
      </c>
      <c r="O23" t="s">
        <v>524</v>
      </c>
      <c r="P23">
        <f>BIN2DEC("1")</f>
        <v>1</v>
      </c>
      <c r="Q23">
        <v>1</v>
      </c>
      <c r="R23" s="49">
        <f t="shared" si="3"/>
        <v>1</v>
      </c>
    </row>
    <row r="24" spans="1:18">
      <c r="A24">
        <v>17</v>
      </c>
      <c r="B24" t="s">
        <v>269</v>
      </c>
      <c r="C24">
        <f>TAN(0)</f>
        <v>0</v>
      </c>
      <c r="D24">
        <v>0</v>
      </c>
      <c r="E24" s="49">
        <f t="shared" si="0"/>
        <v>1</v>
      </c>
      <c r="I24">
        <v>228</v>
      </c>
      <c r="J24" t="s">
        <v>470</v>
      </c>
      <c r="K24">
        <f>SUMPRODUCT(1)</f>
        <v>1</v>
      </c>
      <c r="L24">
        <v>1</v>
      </c>
      <c r="M24" s="49">
        <f t="shared" si="1"/>
        <v>1</v>
      </c>
      <c r="O24" t="s">
        <v>525</v>
      </c>
      <c r="P24" t="str">
        <f>BIN2HEX("1")</f>
        <v>1</v>
      </c>
      <c r="Q24" s="5" t="s">
        <v>266</v>
      </c>
      <c r="R24" s="49">
        <f t="shared" si="3"/>
        <v>1</v>
      </c>
    </row>
    <row r="25" spans="1:18">
      <c r="A25">
        <v>18</v>
      </c>
      <c r="B25" t="s">
        <v>270</v>
      </c>
      <c r="C25">
        <f>ATAN(0)</f>
        <v>0</v>
      </c>
      <c r="D25">
        <v>0</v>
      </c>
      <c r="E25" s="49">
        <f t="shared" si="0"/>
        <v>1</v>
      </c>
      <c r="I25">
        <v>229</v>
      </c>
      <c r="J25" t="s">
        <v>471</v>
      </c>
      <c r="K25">
        <f>SINH(0)</f>
        <v>0</v>
      </c>
      <c r="L25">
        <v>0</v>
      </c>
      <c r="M25" s="49">
        <f t="shared" si="1"/>
        <v>1</v>
      </c>
      <c r="O25" t="s">
        <v>526</v>
      </c>
      <c r="P25" t="str">
        <f>BIN2OCT("1")</f>
        <v>1</v>
      </c>
      <c r="Q25" s="5" t="s">
        <v>266</v>
      </c>
      <c r="R25" s="49">
        <f t="shared" si="3"/>
        <v>1</v>
      </c>
    </row>
    <row r="26" spans="1:18">
      <c r="A26">
        <v>19</v>
      </c>
      <c r="B26" t="s">
        <v>271</v>
      </c>
      <c r="C26">
        <f>PI()</f>
        <v>3.1415926535897931</v>
      </c>
      <c r="D26">
        <v>3.1415926535897931</v>
      </c>
      <c r="E26" s="49">
        <f t="shared" si="0"/>
        <v>1</v>
      </c>
      <c r="I26">
        <v>230</v>
      </c>
      <c r="J26" t="s">
        <v>472</v>
      </c>
      <c r="K26">
        <f>COSH(0)</f>
        <v>1</v>
      </c>
      <c r="L26">
        <v>1</v>
      </c>
      <c r="M26" s="49">
        <f t="shared" si="1"/>
        <v>1</v>
      </c>
      <c r="O26" t="s">
        <v>527</v>
      </c>
      <c r="P26" t="str">
        <f>COMPLEX(1,0)</f>
        <v>1</v>
      </c>
      <c r="Q26" s="5" t="s">
        <v>266</v>
      </c>
      <c r="R26" s="49">
        <f t="shared" si="3"/>
        <v>1</v>
      </c>
    </row>
    <row r="27" spans="1:18">
      <c r="A27">
        <v>20</v>
      </c>
      <c r="B27" t="s">
        <v>272</v>
      </c>
      <c r="C27">
        <f>SQRT(1)</f>
        <v>1</v>
      </c>
      <c r="D27">
        <v>1</v>
      </c>
      <c r="E27" s="49">
        <f t="shared" si="0"/>
        <v>1</v>
      </c>
      <c r="I27">
        <v>231</v>
      </c>
      <c r="J27" t="s">
        <v>473</v>
      </c>
      <c r="K27">
        <f>TANH(0)</f>
        <v>0</v>
      </c>
      <c r="L27">
        <v>0</v>
      </c>
      <c r="M27" s="49">
        <f t="shared" si="1"/>
        <v>1</v>
      </c>
      <c r="O27" t="s">
        <v>528</v>
      </c>
      <c r="P27">
        <f>CONVERT(1,"m","m")</f>
        <v>1</v>
      </c>
      <c r="Q27">
        <v>1</v>
      </c>
      <c r="R27" s="49">
        <f t="shared" si="3"/>
        <v>1</v>
      </c>
    </row>
    <row r="28" spans="1:18">
      <c r="A28">
        <v>21</v>
      </c>
      <c r="B28" t="s">
        <v>273</v>
      </c>
      <c r="C28">
        <f>EXP(0)</f>
        <v>1</v>
      </c>
      <c r="D28">
        <v>1</v>
      </c>
      <c r="E28" s="49">
        <f t="shared" si="0"/>
        <v>1</v>
      </c>
      <c r="I28">
        <v>232</v>
      </c>
      <c r="J28" t="s">
        <v>474</v>
      </c>
      <c r="K28">
        <f>ASINH(0)</f>
        <v>0</v>
      </c>
      <c r="L28">
        <v>0</v>
      </c>
      <c r="M28" s="49">
        <f t="shared" si="1"/>
        <v>1</v>
      </c>
      <c r="O28" t="s">
        <v>529</v>
      </c>
      <c r="P28">
        <f>COUPDAYBS(1,100,1)</f>
        <v>1</v>
      </c>
      <c r="Q28">
        <v>1</v>
      </c>
      <c r="R28" s="49">
        <f t="shared" si="3"/>
        <v>1</v>
      </c>
    </row>
    <row r="29" spans="1:18">
      <c r="A29">
        <v>22</v>
      </c>
      <c r="B29" t="s">
        <v>274</v>
      </c>
      <c r="C29">
        <f>LN(1)</f>
        <v>0</v>
      </c>
      <c r="D29">
        <v>0</v>
      </c>
      <c r="E29" s="49">
        <f t="shared" si="0"/>
        <v>1</v>
      </c>
      <c r="I29">
        <v>233</v>
      </c>
      <c r="J29" t="s">
        <v>475</v>
      </c>
      <c r="K29">
        <f>ACOSH(1)</f>
        <v>0</v>
      </c>
      <c r="L29">
        <v>0</v>
      </c>
      <c r="M29" s="49">
        <f t="shared" si="1"/>
        <v>1</v>
      </c>
      <c r="O29" t="s">
        <v>530</v>
      </c>
      <c r="P29">
        <f>COUPDAYS(1,2,1)</f>
        <v>360</v>
      </c>
      <c r="Q29">
        <v>360</v>
      </c>
      <c r="R29" s="49">
        <f t="shared" si="3"/>
        <v>1</v>
      </c>
    </row>
    <row r="30" spans="1:18">
      <c r="A30">
        <v>23</v>
      </c>
      <c r="B30" t="s">
        <v>275</v>
      </c>
      <c r="C30">
        <f>LOG10(10)</f>
        <v>1</v>
      </c>
      <c r="D30">
        <v>1</v>
      </c>
      <c r="E30" s="49">
        <f t="shared" si="0"/>
        <v>1</v>
      </c>
      <c r="I30">
        <v>234</v>
      </c>
      <c r="J30" t="s">
        <v>476</v>
      </c>
      <c r="K30">
        <f>ATANH(0)</f>
        <v>0</v>
      </c>
      <c r="L30">
        <v>0</v>
      </c>
      <c r="M30" s="49">
        <f t="shared" si="1"/>
        <v>1</v>
      </c>
      <c r="O30" t="s">
        <v>531</v>
      </c>
      <c r="P30">
        <f>COUPDAYSNC(1,2,1)</f>
        <v>1</v>
      </c>
      <c r="Q30">
        <v>1</v>
      </c>
      <c r="R30" s="49">
        <f t="shared" si="3"/>
        <v>1</v>
      </c>
    </row>
    <row r="31" spans="1:18">
      <c r="A31">
        <v>24</v>
      </c>
      <c r="B31" t="s">
        <v>276</v>
      </c>
      <c r="C31">
        <f>ABS(1)</f>
        <v>1</v>
      </c>
      <c r="D31">
        <v>1</v>
      </c>
      <c r="E31" s="49">
        <f t="shared" si="0"/>
        <v>1</v>
      </c>
      <c r="I31">
        <v>235</v>
      </c>
      <c r="J31" t="s">
        <v>477</v>
      </c>
      <c r="K31">
        <f>DGET($F$7:$G$8,1,$F$7:$F$8)</f>
        <v>1</v>
      </c>
      <c r="L31">
        <v>1</v>
      </c>
      <c r="M31" s="49">
        <f t="shared" si="1"/>
        <v>1</v>
      </c>
      <c r="O31" t="s">
        <v>532</v>
      </c>
      <c r="P31">
        <f>COUPNCD(1,2,1)</f>
        <v>2</v>
      </c>
      <c r="Q31">
        <v>2</v>
      </c>
      <c r="R31" s="49">
        <f t="shared" si="3"/>
        <v>1</v>
      </c>
    </row>
    <row r="32" spans="1:18">
      <c r="A32">
        <v>25</v>
      </c>
      <c r="B32" t="s">
        <v>277</v>
      </c>
      <c r="C32">
        <f>INT(1)</f>
        <v>1</v>
      </c>
      <c r="D32">
        <v>1</v>
      </c>
      <c r="E32" s="49">
        <f t="shared" si="0"/>
        <v>1</v>
      </c>
      <c r="I32">
        <v>244</v>
      </c>
      <c r="J32" t="s">
        <v>478</v>
      </c>
      <c r="K32" t="str">
        <f ca="1">INFO("system")</f>
        <v>pcdos</v>
      </c>
      <c r="M32" s="49">
        <f ca="1">IF(IF(NOT(ISERROR(K32)),ISTEXT(K32)),1,"ERR!")</f>
        <v>1</v>
      </c>
      <c r="O32" t="s">
        <v>533</v>
      </c>
      <c r="P32">
        <f>COUPNUM(1000,1001,1)</f>
        <v>1</v>
      </c>
      <c r="Q32">
        <v>1</v>
      </c>
      <c r="R32" s="49">
        <f t="shared" si="3"/>
        <v>1</v>
      </c>
    </row>
    <row r="33" spans="1:18">
      <c r="A33">
        <v>26</v>
      </c>
      <c r="B33" t="s">
        <v>278</v>
      </c>
      <c r="C33">
        <f>SIGN(1)</f>
        <v>1</v>
      </c>
      <c r="D33">
        <v>1</v>
      </c>
      <c r="E33" s="49">
        <f t="shared" si="0"/>
        <v>1</v>
      </c>
      <c r="O33" t="s">
        <v>534</v>
      </c>
      <c r="P33">
        <f>COUPPCD(1,2,1)</f>
        <v>0</v>
      </c>
      <c r="Q33">
        <v>0</v>
      </c>
      <c r="R33" s="49">
        <f t="shared" si="3"/>
        <v>1</v>
      </c>
    </row>
    <row r="34" spans="1:18" ht="15.75">
      <c r="A34">
        <v>27</v>
      </c>
      <c r="B34" t="s">
        <v>279</v>
      </c>
      <c r="C34">
        <f>ROUND(1,0)</f>
        <v>1</v>
      </c>
      <c r="D34">
        <v>1</v>
      </c>
      <c r="E34" s="49">
        <f t="shared" si="0"/>
        <v>1</v>
      </c>
      <c r="I34" s="8" t="s">
        <v>656</v>
      </c>
      <c r="J34" s="3"/>
      <c r="K34" s="3"/>
      <c r="L34" s="3"/>
      <c r="M34" s="3"/>
      <c r="O34" t="s">
        <v>535</v>
      </c>
      <c r="P34">
        <f>CUMIPMT(1,1,1,1,1,1)</f>
        <v>0</v>
      </c>
      <c r="Q34">
        <v>0</v>
      </c>
      <c r="R34" s="49">
        <f t="shared" si="3"/>
        <v>1</v>
      </c>
    </row>
    <row r="35" spans="1:18">
      <c r="A35">
        <v>28</v>
      </c>
      <c r="B35" t="s">
        <v>280</v>
      </c>
      <c r="C35">
        <f>LOOKUP(1,$F$7:$G$7)</f>
        <v>1</v>
      </c>
      <c r="D35">
        <v>1</v>
      </c>
      <c r="E35" s="49">
        <f t="shared" si="0"/>
        <v>1</v>
      </c>
      <c r="I35" s="4" t="s">
        <v>248</v>
      </c>
      <c r="J35" s="4" t="s">
        <v>249</v>
      </c>
      <c r="K35" s="4" t="s">
        <v>5</v>
      </c>
      <c r="L35" s="4" t="s">
        <v>6</v>
      </c>
      <c r="M35" s="4" t="s">
        <v>7</v>
      </c>
      <c r="O35" t="s">
        <v>536</v>
      </c>
      <c r="P35">
        <f>CUMPRINC(1,1,1,1,1,1)</f>
        <v>-1</v>
      </c>
      <c r="Q35">
        <v>-1</v>
      </c>
      <c r="R35" s="49">
        <f t="shared" si="3"/>
        <v>1</v>
      </c>
    </row>
    <row r="36" spans="1:18">
      <c r="A36">
        <v>29</v>
      </c>
      <c r="B36" t="s">
        <v>281</v>
      </c>
      <c r="C36">
        <f>INDEX($F$9,0)</f>
        <v>1</v>
      </c>
      <c r="D36">
        <v>1</v>
      </c>
      <c r="E36" s="49">
        <f t="shared" si="0"/>
        <v>1</v>
      </c>
      <c r="I36">
        <v>216</v>
      </c>
      <c r="J36" t="s">
        <v>385</v>
      </c>
      <c r="K36">
        <f>RANK(1,$F$7)</f>
        <v>1</v>
      </c>
      <c r="L36">
        <v>1</v>
      </c>
      <c r="M36" s="49">
        <f t="shared" ref="M36:M99" si="4">IF(IF(AND(ISERROR(K36),ISERROR(L36)),ERROR.TYPE(K36)=ERROR.TYPE(L36),IF(AND(NOT(ISERROR(K36)),NOT(ISERROR(L36))),AND(ISBLANK(K36)=ISBLANK(L36),K36=L36))),1,"ERR!")</f>
        <v>1</v>
      </c>
      <c r="O36" t="s">
        <v>537</v>
      </c>
      <c r="P36" t="str">
        <f>DEC2BIN(1)</f>
        <v>1</v>
      </c>
      <c r="Q36" s="5" t="s">
        <v>266</v>
      </c>
      <c r="R36" s="49">
        <f t="shared" si="3"/>
        <v>1</v>
      </c>
    </row>
    <row r="37" spans="1:18">
      <c r="A37">
        <v>30</v>
      </c>
      <c r="B37" t="s">
        <v>282</v>
      </c>
      <c r="C37" t="str">
        <f>REPT("A",1)</f>
        <v>A</v>
      </c>
      <c r="D37" t="s">
        <v>283</v>
      </c>
      <c r="E37" s="49">
        <f t="shared" si="0"/>
        <v>1</v>
      </c>
      <c r="I37">
        <v>247</v>
      </c>
      <c r="J37" t="s">
        <v>386</v>
      </c>
      <c r="K37" s="11">
        <f>DB(2,1,1,1)</f>
        <v>1</v>
      </c>
      <c r="L37">
        <v>1</v>
      </c>
      <c r="M37" s="49">
        <f t="shared" si="4"/>
        <v>1</v>
      </c>
      <c r="O37" t="s">
        <v>538</v>
      </c>
      <c r="P37" t="str">
        <f>DEC2HEX(1)</f>
        <v>1</v>
      </c>
      <c r="Q37" s="5" t="s">
        <v>266</v>
      </c>
      <c r="R37" s="49">
        <f t="shared" si="3"/>
        <v>1</v>
      </c>
    </row>
    <row r="38" spans="1:18">
      <c r="A38">
        <v>31</v>
      </c>
      <c r="B38" t="s">
        <v>284</v>
      </c>
      <c r="C38" t="str">
        <f>MID("A",1,1)</f>
        <v>A</v>
      </c>
      <c r="D38" t="s">
        <v>283</v>
      </c>
      <c r="E38" s="49">
        <f t="shared" si="0"/>
        <v>1</v>
      </c>
      <c r="I38">
        <v>252</v>
      </c>
      <c r="J38" t="s">
        <v>387</v>
      </c>
      <c r="K38">
        <f>FREQUENCY(1,1)</f>
        <v>1</v>
      </c>
      <c r="L38">
        <v>1</v>
      </c>
      <c r="M38" s="49">
        <f t="shared" si="4"/>
        <v>1</v>
      </c>
      <c r="O38" t="s">
        <v>539</v>
      </c>
      <c r="P38" t="str">
        <f>DEC2OCT(1)</f>
        <v>1</v>
      </c>
      <c r="Q38" s="5" t="s">
        <v>266</v>
      </c>
      <c r="R38" s="49">
        <f t="shared" si="3"/>
        <v>1</v>
      </c>
    </row>
    <row r="39" spans="1:18">
      <c r="A39">
        <v>32</v>
      </c>
      <c r="B39" t="s">
        <v>285</v>
      </c>
      <c r="C39">
        <f>LEN("A")</f>
        <v>1</v>
      </c>
      <c r="D39">
        <v>1</v>
      </c>
      <c r="E39" s="49">
        <f t="shared" si="0"/>
        <v>1</v>
      </c>
      <c r="I39">
        <v>261</v>
      </c>
      <c r="J39" t="s">
        <v>388</v>
      </c>
      <c r="K39">
        <f>ERROR.TYPE($F$22)</f>
        <v>7</v>
      </c>
      <c r="M39" s="49">
        <f>IF(IF(NOT(ISERROR(K39)),ISNUMBER(K39)),1,"ERR!")</f>
        <v>1</v>
      </c>
      <c r="O39" t="s">
        <v>540</v>
      </c>
      <c r="P39">
        <f>DELTA(1,1)</f>
        <v>1</v>
      </c>
      <c r="Q39">
        <v>1</v>
      </c>
      <c r="R39" s="49">
        <f t="shared" si="3"/>
        <v>1</v>
      </c>
    </row>
    <row r="40" spans="1:18">
      <c r="A40">
        <v>33</v>
      </c>
      <c r="B40" t="s">
        <v>286</v>
      </c>
      <c r="C40">
        <f>VALUE("1")</f>
        <v>1</v>
      </c>
      <c r="D40">
        <v>1</v>
      </c>
      <c r="E40" s="49">
        <f t="shared" si="0"/>
        <v>1</v>
      </c>
      <c r="I40">
        <v>269</v>
      </c>
      <c r="J40" t="s">
        <v>389</v>
      </c>
      <c r="K40">
        <f>AVEDEV(1)</f>
        <v>0</v>
      </c>
      <c r="L40">
        <v>0</v>
      </c>
      <c r="M40" s="49">
        <f t="shared" si="4"/>
        <v>1</v>
      </c>
      <c r="O40" t="s">
        <v>541</v>
      </c>
      <c r="P40">
        <f>DISC(1,2,1,1)</f>
        <v>0</v>
      </c>
      <c r="Q40">
        <v>0</v>
      </c>
      <c r="R40" s="49">
        <f t="shared" si="3"/>
        <v>1</v>
      </c>
    </row>
    <row r="41" spans="1:18">
      <c r="A41">
        <v>34</v>
      </c>
      <c r="B41" t="s">
        <v>287</v>
      </c>
      <c r="C41" t="b">
        <f>TRUE()</f>
        <v>1</v>
      </c>
      <c r="D41" t="b">
        <v>1</v>
      </c>
      <c r="E41" s="49">
        <f t="shared" si="0"/>
        <v>1</v>
      </c>
      <c r="I41">
        <v>270</v>
      </c>
      <c r="J41" t="s">
        <v>390</v>
      </c>
      <c r="K41">
        <f>BETADIST(1,1,1)</f>
        <v>1</v>
      </c>
      <c r="L41">
        <v>1</v>
      </c>
      <c r="M41" s="49">
        <f t="shared" ref="M41:M48" si="5">IF(IF(AND(ISERROR(K41),ISERROR(L41)),ERROR.TYPE(K41)=ERROR.TYPE(L41),IF(AND(NOT(ISERROR(K41)),NOT(ISERROR(L41))),AND(ISBLANK(K41)=ISBLANK(L41),(K41-L41)/L41&lt;0.0001))),1,"ERR!")</f>
        <v>1</v>
      </c>
      <c r="O41" t="s">
        <v>542</v>
      </c>
      <c r="P41">
        <f>DOLLARDE(1,1)</f>
        <v>1</v>
      </c>
      <c r="Q41">
        <v>1</v>
      </c>
      <c r="R41" s="49">
        <f t="shared" si="3"/>
        <v>1</v>
      </c>
    </row>
    <row r="42" spans="1:18">
      <c r="A42">
        <v>35</v>
      </c>
      <c r="B42" t="s">
        <v>288</v>
      </c>
      <c r="C42" t="b">
        <f>FALSE()</f>
        <v>0</v>
      </c>
      <c r="D42" t="b">
        <v>0</v>
      </c>
      <c r="E42" s="49">
        <f t="shared" si="0"/>
        <v>1</v>
      </c>
      <c r="I42">
        <v>271</v>
      </c>
      <c r="J42" t="s">
        <v>391</v>
      </c>
      <c r="K42">
        <f>GAMMALN(1)</f>
        <v>-4.1715964016475482E-11</v>
      </c>
      <c r="L42">
        <v>-4.1715964016475482E-11</v>
      </c>
      <c r="M42" s="49">
        <f t="shared" si="5"/>
        <v>1</v>
      </c>
      <c r="O42" t="s">
        <v>543</v>
      </c>
      <c r="P42">
        <f>DOLLARFR(1,1)</f>
        <v>1</v>
      </c>
      <c r="Q42">
        <v>1</v>
      </c>
      <c r="R42" s="49">
        <f t="shared" si="3"/>
        <v>1</v>
      </c>
    </row>
    <row r="43" spans="1:18">
      <c r="A43">
        <v>36</v>
      </c>
      <c r="B43" t="s">
        <v>289</v>
      </c>
      <c r="C43" t="b">
        <f>AND(1)</f>
        <v>1</v>
      </c>
      <c r="D43" t="b">
        <v>1</v>
      </c>
      <c r="E43" s="49">
        <f t="shared" si="0"/>
        <v>1</v>
      </c>
      <c r="I43">
        <v>272</v>
      </c>
      <c r="J43" t="s">
        <v>392</v>
      </c>
      <c r="K43">
        <f>BETAINV(0.5,1,1)</f>
        <v>0.5</v>
      </c>
      <c r="L43">
        <v>0.5</v>
      </c>
      <c r="M43" s="49">
        <f t="shared" si="5"/>
        <v>1</v>
      </c>
      <c r="O43" t="s">
        <v>544</v>
      </c>
      <c r="P43">
        <f>DURATION(1000,1365,1,1,1)</f>
        <v>1</v>
      </c>
      <c r="Q43">
        <v>1</v>
      </c>
      <c r="R43" s="49">
        <f t="shared" si="3"/>
        <v>1</v>
      </c>
    </row>
    <row r="44" spans="1:18">
      <c r="A44">
        <v>37</v>
      </c>
      <c r="B44" t="s">
        <v>290</v>
      </c>
      <c r="C44" t="b">
        <f>OR(1)</f>
        <v>1</v>
      </c>
      <c r="D44" t="b">
        <v>1</v>
      </c>
      <c r="E44" s="49">
        <f t="shared" si="0"/>
        <v>1</v>
      </c>
      <c r="I44">
        <v>273</v>
      </c>
      <c r="J44" t="s">
        <v>393</v>
      </c>
      <c r="K44">
        <f>BINOMDIST(1,1,1,1)</f>
        <v>1</v>
      </c>
      <c r="L44">
        <v>1</v>
      </c>
      <c r="M44" s="49">
        <f t="shared" si="5"/>
        <v>1</v>
      </c>
      <c r="O44" t="s">
        <v>545</v>
      </c>
      <c r="P44">
        <f>EDATE(1,1)</f>
        <v>32</v>
      </c>
      <c r="Q44">
        <v>32</v>
      </c>
      <c r="R44" s="49">
        <f t="shared" si="3"/>
        <v>1</v>
      </c>
    </row>
    <row r="45" spans="1:18">
      <c r="A45">
        <v>38</v>
      </c>
      <c r="B45" t="s">
        <v>291</v>
      </c>
      <c r="C45" t="b">
        <f>NOT(0)</f>
        <v>1</v>
      </c>
      <c r="D45" t="b">
        <v>1</v>
      </c>
      <c r="E45" s="49">
        <f t="shared" si="0"/>
        <v>1</v>
      </c>
      <c r="I45">
        <v>274</v>
      </c>
      <c r="J45" t="s">
        <v>394</v>
      </c>
      <c r="K45">
        <f>CHIDIST(0,1)</f>
        <v>1</v>
      </c>
      <c r="L45">
        <v>1</v>
      </c>
      <c r="M45" s="49">
        <f t="shared" si="5"/>
        <v>1</v>
      </c>
      <c r="O45" t="s">
        <v>546</v>
      </c>
      <c r="P45">
        <f>EFFECT(1,1)</f>
        <v>1</v>
      </c>
      <c r="Q45">
        <v>1</v>
      </c>
      <c r="R45" s="49">
        <f t="shared" si="3"/>
        <v>1</v>
      </c>
    </row>
    <row r="46" spans="1:18">
      <c r="A46">
        <v>39</v>
      </c>
      <c r="B46" t="s">
        <v>292</v>
      </c>
      <c r="C46">
        <f>MOD(1,2)</f>
        <v>1</v>
      </c>
      <c r="D46">
        <v>1</v>
      </c>
      <c r="E46" s="49">
        <f t="shared" si="0"/>
        <v>1</v>
      </c>
      <c r="I46">
        <v>275</v>
      </c>
      <c r="J46" t="s">
        <v>395</v>
      </c>
      <c r="K46">
        <f>CHIINV(1,1)</f>
        <v>1.5707964124566731E-18</v>
      </c>
      <c r="L46">
        <v>1.5707964124566731E-18</v>
      </c>
      <c r="M46" s="49">
        <f t="shared" si="5"/>
        <v>1</v>
      </c>
      <c r="O46" t="s">
        <v>547</v>
      </c>
      <c r="P46">
        <f>EOMONTH(1,1)</f>
        <v>59</v>
      </c>
      <c r="Q46">
        <v>59</v>
      </c>
      <c r="R46" s="49">
        <f t="shared" si="3"/>
        <v>1</v>
      </c>
    </row>
    <row r="47" spans="1:18">
      <c r="A47">
        <v>40</v>
      </c>
      <c r="B47" t="s">
        <v>293</v>
      </c>
      <c r="C47">
        <f>DCOUNT($F$7:$G$8,1,$F$7:$F$8)</f>
        <v>1</v>
      </c>
      <c r="D47">
        <v>1</v>
      </c>
      <c r="E47" s="49">
        <f t="shared" si="0"/>
        <v>1</v>
      </c>
      <c r="I47">
        <v>276</v>
      </c>
      <c r="J47" t="s">
        <v>396</v>
      </c>
      <c r="K47">
        <f>COMBIN(1,1)</f>
        <v>1</v>
      </c>
      <c r="L47">
        <v>1</v>
      </c>
      <c r="M47" s="49">
        <f t="shared" si="5"/>
        <v>1</v>
      </c>
      <c r="O47" t="s">
        <v>548</v>
      </c>
      <c r="P47">
        <f>ERF(0)</f>
        <v>0</v>
      </c>
      <c r="Q47">
        <v>0</v>
      </c>
      <c r="R47" s="49">
        <f t="shared" si="3"/>
        <v>1</v>
      </c>
    </row>
    <row r="48" spans="1:18">
      <c r="A48">
        <v>41</v>
      </c>
      <c r="B48" t="s">
        <v>294</v>
      </c>
      <c r="C48">
        <f>DSUM($F$7:$G$8,1,$F$7:$F$8)</f>
        <v>1</v>
      </c>
      <c r="D48">
        <v>1</v>
      </c>
      <c r="E48" s="49">
        <f t="shared" si="0"/>
        <v>1</v>
      </c>
      <c r="I48">
        <v>277</v>
      </c>
      <c r="J48" t="s">
        <v>397</v>
      </c>
      <c r="K48">
        <f>CONFIDENCE(0.5,1,1)</f>
        <v>0.67448975019608159</v>
      </c>
      <c r="L48">
        <v>0.67448975019608159</v>
      </c>
      <c r="M48" s="49">
        <f t="shared" si="5"/>
        <v>1</v>
      </c>
      <c r="O48" t="s">
        <v>549</v>
      </c>
      <c r="P48">
        <f>ERFC(0)</f>
        <v>1</v>
      </c>
      <c r="Q48">
        <v>1</v>
      </c>
      <c r="R48" s="49">
        <f t="shared" si="3"/>
        <v>1</v>
      </c>
    </row>
    <row r="49" spans="1:18">
      <c r="A49">
        <v>42</v>
      </c>
      <c r="B49" t="s">
        <v>295</v>
      </c>
      <c r="C49">
        <f>DAVERAGE($F$7:$G$8,1,$F$7:$F$8)</f>
        <v>1</v>
      </c>
      <c r="D49">
        <v>1</v>
      </c>
      <c r="E49" s="49">
        <f t="shared" si="0"/>
        <v>1</v>
      </c>
      <c r="I49">
        <v>278</v>
      </c>
      <c r="J49" t="s">
        <v>398</v>
      </c>
      <c r="K49">
        <f>CRITBINOM(1,0.5,0.1)</f>
        <v>0</v>
      </c>
      <c r="L49">
        <v>0</v>
      </c>
      <c r="M49" s="49">
        <f t="shared" si="4"/>
        <v>1</v>
      </c>
      <c r="O49" t="s">
        <v>550</v>
      </c>
      <c r="P49">
        <f>FACTDOUBLE(1)</f>
        <v>1</v>
      </c>
      <c r="Q49">
        <v>1</v>
      </c>
      <c r="R49" s="49">
        <f t="shared" si="3"/>
        <v>1</v>
      </c>
    </row>
    <row r="50" spans="1:18">
      <c r="A50">
        <v>43</v>
      </c>
      <c r="B50" t="s">
        <v>296</v>
      </c>
      <c r="C50">
        <f>DMIN($F$7:$G$8,1,$F$7:$F$8)</f>
        <v>1</v>
      </c>
      <c r="D50">
        <v>1</v>
      </c>
      <c r="E50" s="49">
        <f t="shared" si="0"/>
        <v>1</v>
      </c>
      <c r="I50">
        <v>279</v>
      </c>
      <c r="J50" t="s">
        <v>399</v>
      </c>
      <c r="K50">
        <f>EVEN(1)</f>
        <v>2</v>
      </c>
      <c r="L50">
        <v>2</v>
      </c>
      <c r="M50" s="49">
        <f t="shared" si="4"/>
        <v>1</v>
      </c>
      <c r="O50" t="s">
        <v>551</v>
      </c>
      <c r="P50">
        <f>FVSCHEDULE(1,0)</f>
        <v>1</v>
      </c>
      <c r="Q50">
        <v>1</v>
      </c>
      <c r="R50" s="49">
        <f t="shared" si="3"/>
        <v>1</v>
      </c>
    </row>
    <row r="51" spans="1:18">
      <c r="A51">
        <v>44</v>
      </c>
      <c r="B51" t="s">
        <v>297</v>
      </c>
      <c r="C51">
        <f>DMAX($F$7:$G$8,1,$F$7:$F$8)</f>
        <v>1</v>
      </c>
      <c r="D51">
        <v>1</v>
      </c>
      <c r="E51" s="49">
        <f t="shared" si="0"/>
        <v>1</v>
      </c>
      <c r="I51">
        <v>280</v>
      </c>
      <c r="J51" t="s">
        <v>400</v>
      </c>
      <c r="K51">
        <f>EXPONDIST(0,1,1)</f>
        <v>0</v>
      </c>
      <c r="L51">
        <v>0</v>
      </c>
      <c r="M51" s="49">
        <f t="shared" si="4"/>
        <v>1</v>
      </c>
      <c r="O51" t="s">
        <v>552</v>
      </c>
      <c r="P51">
        <f>GCD(1)</f>
        <v>1</v>
      </c>
      <c r="Q51">
        <v>1</v>
      </c>
      <c r="R51" s="49">
        <f t="shared" si="3"/>
        <v>1</v>
      </c>
    </row>
    <row r="52" spans="1:18">
      <c r="A52">
        <v>45</v>
      </c>
      <c r="B52" t="s">
        <v>298</v>
      </c>
      <c r="C52">
        <f>DSTDEV($F$7:$G$9,1,$F$7:$F$9)</f>
        <v>0</v>
      </c>
      <c r="D52">
        <v>0</v>
      </c>
      <c r="E52" s="49">
        <f t="shared" si="0"/>
        <v>1</v>
      </c>
      <c r="I52">
        <v>281</v>
      </c>
      <c r="J52" t="s">
        <v>401</v>
      </c>
      <c r="K52">
        <f>FDIST(0,1,1)</f>
        <v>1</v>
      </c>
      <c r="L52">
        <v>1</v>
      </c>
      <c r="M52" s="49">
        <f t="shared" si="4"/>
        <v>1</v>
      </c>
      <c r="O52" t="s">
        <v>553</v>
      </c>
      <c r="P52">
        <f>GESTEP(1)</f>
        <v>1</v>
      </c>
      <c r="Q52">
        <v>1</v>
      </c>
      <c r="R52" s="49">
        <f t="shared" si="3"/>
        <v>1</v>
      </c>
    </row>
    <row r="53" spans="1:18">
      <c r="A53">
        <v>46</v>
      </c>
      <c r="B53" t="s">
        <v>299</v>
      </c>
      <c r="C53">
        <f>VAR(1,1)</f>
        <v>0</v>
      </c>
      <c r="D53">
        <v>0</v>
      </c>
      <c r="E53" s="49">
        <f t="shared" si="0"/>
        <v>1</v>
      </c>
      <c r="I53">
        <v>282</v>
      </c>
      <c r="J53" t="s">
        <v>402</v>
      </c>
      <c r="K53">
        <f>FINV(1,1,1)</f>
        <v>0</v>
      </c>
      <c r="L53">
        <v>0</v>
      </c>
      <c r="M53" s="49">
        <f t="shared" si="4"/>
        <v>1</v>
      </c>
      <c r="O53" t="s">
        <v>554</v>
      </c>
      <c r="P53" t="str">
        <f>HEX2BIN("1")</f>
        <v>1</v>
      </c>
      <c r="Q53" s="5" t="s">
        <v>266</v>
      </c>
      <c r="R53" s="49">
        <f t="shared" si="3"/>
        <v>1</v>
      </c>
    </row>
    <row r="54" spans="1:18">
      <c r="A54">
        <v>47</v>
      </c>
      <c r="B54" t="s">
        <v>300</v>
      </c>
      <c r="C54">
        <f>DVAR($F$7:$G$9,1,$F$7:$F$9)</f>
        <v>0</v>
      </c>
      <c r="D54">
        <v>0</v>
      </c>
      <c r="E54" s="49">
        <f t="shared" si="0"/>
        <v>1</v>
      </c>
      <c r="I54">
        <v>283</v>
      </c>
      <c r="J54" t="s">
        <v>403</v>
      </c>
      <c r="K54">
        <f>FISHER(0)</f>
        <v>0</v>
      </c>
      <c r="L54">
        <v>0</v>
      </c>
      <c r="M54" s="49">
        <f t="shared" si="4"/>
        <v>1</v>
      </c>
      <c r="O54" t="s">
        <v>555</v>
      </c>
      <c r="P54">
        <f>HEX2DEC("1")</f>
        <v>1</v>
      </c>
      <c r="Q54">
        <v>1</v>
      </c>
      <c r="R54" s="49">
        <f t="shared" si="3"/>
        <v>1</v>
      </c>
    </row>
    <row r="55" spans="1:18">
      <c r="A55">
        <v>48</v>
      </c>
      <c r="B55" t="s">
        <v>301</v>
      </c>
      <c r="C55" t="str">
        <f>TEXT(1,"0")</f>
        <v>1</v>
      </c>
      <c r="D55" s="5" t="s">
        <v>266</v>
      </c>
      <c r="E55" s="49">
        <f t="shared" si="0"/>
        <v>1</v>
      </c>
      <c r="I55">
        <v>284</v>
      </c>
      <c r="J55" t="s">
        <v>404</v>
      </c>
      <c r="K55">
        <f>FISHERINV(0)</f>
        <v>0</v>
      </c>
      <c r="L55">
        <v>0</v>
      </c>
      <c r="M55" s="49">
        <f t="shared" si="4"/>
        <v>1</v>
      </c>
      <c r="O55" t="s">
        <v>556</v>
      </c>
      <c r="P55" t="str">
        <f>HEX2OCT("1")</f>
        <v>1</v>
      </c>
      <c r="Q55" s="5" t="s">
        <v>266</v>
      </c>
      <c r="R55" s="49">
        <f t="shared" si="3"/>
        <v>1</v>
      </c>
    </row>
    <row r="56" spans="1:18">
      <c r="A56">
        <v>49</v>
      </c>
      <c r="B56" t="s">
        <v>302</v>
      </c>
      <c r="C56">
        <f>LINEST($F$7:$F$8)</f>
        <v>0</v>
      </c>
      <c r="D56">
        <v>0</v>
      </c>
      <c r="E56" s="49">
        <f t="shared" si="0"/>
        <v>1</v>
      </c>
      <c r="I56">
        <v>285</v>
      </c>
      <c r="J56" t="s">
        <v>405</v>
      </c>
      <c r="K56">
        <f>FLOOR(1,1)</f>
        <v>1</v>
      </c>
      <c r="L56">
        <v>1</v>
      </c>
      <c r="M56" s="49">
        <f t="shared" si="4"/>
        <v>1</v>
      </c>
      <c r="O56" t="s">
        <v>557</v>
      </c>
      <c r="P56">
        <f>IMABS(1)</f>
        <v>1</v>
      </c>
      <c r="Q56">
        <v>1</v>
      </c>
      <c r="R56" s="49">
        <f t="shared" si="3"/>
        <v>1</v>
      </c>
    </row>
    <row r="57" spans="1:18">
      <c r="A57">
        <v>50</v>
      </c>
      <c r="B57" t="s">
        <v>303</v>
      </c>
      <c r="C57">
        <f>TREND($F$7:$F$8)</f>
        <v>1</v>
      </c>
      <c r="D57">
        <v>1</v>
      </c>
      <c r="E57" s="49">
        <f t="shared" si="0"/>
        <v>1</v>
      </c>
      <c r="I57">
        <v>286</v>
      </c>
      <c r="J57" t="s">
        <v>406</v>
      </c>
      <c r="K57">
        <f>GAMMADIST(0,1,1,1)</f>
        <v>0</v>
      </c>
      <c r="L57">
        <v>0</v>
      </c>
      <c r="M57" s="49">
        <f t="shared" si="4"/>
        <v>1</v>
      </c>
      <c r="O57" t="s">
        <v>558</v>
      </c>
      <c r="P57">
        <f>IMAGINARY(1)</f>
        <v>0</v>
      </c>
      <c r="Q57">
        <v>0</v>
      </c>
      <c r="R57" s="49">
        <f t="shared" si="3"/>
        <v>1</v>
      </c>
    </row>
    <row r="58" spans="1:18">
      <c r="A58">
        <v>51</v>
      </c>
      <c r="B58" t="s">
        <v>304</v>
      </c>
      <c r="C58">
        <f>LOGEST($F$7:$F$8)</f>
        <v>1</v>
      </c>
      <c r="D58">
        <v>1</v>
      </c>
      <c r="E58" s="49">
        <f t="shared" si="0"/>
        <v>1</v>
      </c>
      <c r="I58">
        <v>287</v>
      </c>
      <c r="J58" t="s">
        <v>407</v>
      </c>
      <c r="K58">
        <f>GAMMAINV(0,1,1)</f>
        <v>0</v>
      </c>
      <c r="L58">
        <v>0</v>
      </c>
      <c r="M58" s="49">
        <f t="shared" si="4"/>
        <v>1</v>
      </c>
      <c r="O58" t="s">
        <v>559</v>
      </c>
      <c r="P58">
        <f>IMARGUMENT(1)</f>
        <v>0</v>
      </c>
      <c r="Q58">
        <v>0</v>
      </c>
      <c r="R58" s="49">
        <f t="shared" si="3"/>
        <v>1</v>
      </c>
    </row>
    <row r="59" spans="1:18">
      <c r="A59">
        <v>52</v>
      </c>
      <c r="B59" t="s">
        <v>305</v>
      </c>
      <c r="C59">
        <f>GROWTH($F$7:$F$8)</f>
        <v>1</v>
      </c>
      <c r="D59">
        <v>1</v>
      </c>
      <c r="E59" s="49">
        <f t="shared" si="0"/>
        <v>1</v>
      </c>
      <c r="I59">
        <v>288</v>
      </c>
      <c r="J59" t="s">
        <v>408</v>
      </c>
      <c r="K59">
        <f>CEILING(1,1)</f>
        <v>1</v>
      </c>
      <c r="L59">
        <v>1</v>
      </c>
      <c r="M59" s="49">
        <f t="shared" si="4"/>
        <v>1</v>
      </c>
      <c r="O59" t="s">
        <v>560</v>
      </c>
      <c r="P59" t="str">
        <f>IMCONJUGATE(1)</f>
        <v>1</v>
      </c>
      <c r="Q59" s="5" t="s">
        <v>266</v>
      </c>
      <c r="R59" s="49">
        <f t="shared" si="3"/>
        <v>1</v>
      </c>
    </row>
    <row r="60" spans="1:18">
      <c r="A60">
        <v>56</v>
      </c>
      <c r="B60" t="s">
        <v>306</v>
      </c>
      <c r="C60" s="11">
        <f>PV(1,1,2)</f>
        <v>-1</v>
      </c>
      <c r="D60">
        <v>-1</v>
      </c>
      <c r="E60" s="49">
        <f t="shared" si="0"/>
        <v>1</v>
      </c>
      <c r="I60">
        <v>289</v>
      </c>
      <c r="J60" t="s">
        <v>409</v>
      </c>
      <c r="K60">
        <f>HYPGEOMDIST(1,1,1,1)</f>
        <v>1</v>
      </c>
      <c r="L60">
        <v>1</v>
      </c>
      <c r="M60" s="49">
        <f t="shared" si="4"/>
        <v>1</v>
      </c>
      <c r="O60" t="s">
        <v>561</v>
      </c>
      <c r="P60" t="str">
        <f>IMCOS(0)</f>
        <v>1</v>
      </c>
      <c r="Q60" s="5" t="s">
        <v>266</v>
      </c>
      <c r="R60" s="49">
        <f t="shared" si="3"/>
        <v>1</v>
      </c>
    </row>
    <row r="61" spans="1:18">
      <c r="A61">
        <v>57</v>
      </c>
      <c r="B61" t="s">
        <v>307</v>
      </c>
      <c r="C61" s="11">
        <f>FV(1,1,1)</f>
        <v>-1</v>
      </c>
      <c r="D61">
        <v>-1</v>
      </c>
      <c r="E61" s="49">
        <f t="shared" si="0"/>
        <v>1</v>
      </c>
      <c r="I61">
        <v>290</v>
      </c>
      <c r="J61" t="s">
        <v>410</v>
      </c>
      <c r="K61">
        <f>LOGNORMDIST(1,0,1)</f>
        <v>0.5</v>
      </c>
      <c r="L61">
        <v>0.5</v>
      </c>
      <c r="M61" s="49">
        <f t="shared" ref="M61:M67" si="6">IF(IF(AND(ISERROR(K61),ISERROR(L61)),ERROR.TYPE(K61)=ERROR.TYPE(L61),IF(AND(NOT(ISERROR(K61)),NOT(ISERROR(L61))),AND(ISBLANK(K61)=ISBLANK(L61),(K61-L61)/L61&lt;0.0001))),1,"ERR!")</f>
        <v>1</v>
      </c>
      <c r="O61" t="s">
        <v>562</v>
      </c>
      <c r="P61" t="str">
        <f>IMDIV(1,1)</f>
        <v>1</v>
      </c>
      <c r="Q61" s="5" t="s">
        <v>266</v>
      </c>
      <c r="R61" s="49">
        <f t="shared" si="3"/>
        <v>1</v>
      </c>
    </row>
    <row r="62" spans="1:18">
      <c r="A62">
        <v>58</v>
      </c>
      <c r="B62" t="s">
        <v>308</v>
      </c>
      <c r="C62">
        <f>NPER(1,1,1)</f>
        <v>-1</v>
      </c>
      <c r="D62">
        <v>-1</v>
      </c>
      <c r="E62" s="49">
        <f t="shared" si="0"/>
        <v>1</v>
      </c>
      <c r="I62">
        <v>291</v>
      </c>
      <c r="J62" t="s">
        <v>411</v>
      </c>
      <c r="K62">
        <f>LOGINV(0.5,0,1)</f>
        <v>0.99999999999999989</v>
      </c>
      <c r="L62">
        <v>1</v>
      </c>
      <c r="M62" s="49">
        <f t="shared" si="6"/>
        <v>1</v>
      </c>
      <c r="O62" t="s">
        <v>563</v>
      </c>
      <c r="P62" t="str">
        <f>IMEXP(0)</f>
        <v>1</v>
      </c>
      <c r="Q62" s="5" t="s">
        <v>266</v>
      </c>
      <c r="R62" s="49">
        <f t="shared" si="3"/>
        <v>1</v>
      </c>
    </row>
    <row r="63" spans="1:18">
      <c r="A63">
        <v>59</v>
      </c>
      <c r="B63" t="s">
        <v>309</v>
      </c>
      <c r="C63" s="11">
        <f>PMT(0,1,1)</f>
        <v>-1</v>
      </c>
      <c r="D63">
        <v>-1</v>
      </c>
      <c r="E63" s="49">
        <f t="shared" si="0"/>
        <v>1</v>
      </c>
      <c r="I63">
        <v>292</v>
      </c>
      <c r="J63" t="s">
        <v>412</v>
      </c>
      <c r="K63">
        <f>NEGBINOMDIST(0,1,0.5)</f>
        <v>0.5</v>
      </c>
      <c r="L63">
        <v>0.5</v>
      </c>
      <c r="M63" s="49">
        <f t="shared" si="6"/>
        <v>1</v>
      </c>
      <c r="O63" t="s">
        <v>564</v>
      </c>
      <c r="P63" t="str">
        <f>IMLN(1)</f>
        <v>0</v>
      </c>
      <c r="Q63" s="5" t="s">
        <v>565</v>
      </c>
      <c r="R63" s="49">
        <f t="shared" si="3"/>
        <v>1</v>
      </c>
    </row>
    <row r="64" spans="1:18">
      <c r="A64">
        <v>60</v>
      </c>
      <c r="B64" t="s">
        <v>310</v>
      </c>
      <c r="C64" s="12">
        <f>RATE(1,-2,1)</f>
        <v>0.99999999999999989</v>
      </c>
      <c r="D64" s="12">
        <v>1</v>
      </c>
      <c r="E64" s="49">
        <f t="shared" si="0"/>
        <v>1</v>
      </c>
      <c r="I64">
        <v>293</v>
      </c>
      <c r="J64" t="s">
        <v>413</v>
      </c>
      <c r="K64">
        <f>NORMDIST(1,1,1,1)</f>
        <v>0.5</v>
      </c>
      <c r="L64">
        <v>0.5</v>
      </c>
      <c r="M64" s="49">
        <f t="shared" si="6"/>
        <v>1</v>
      </c>
      <c r="O64" t="s">
        <v>566</v>
      </c>
      <c r="P64" t="str">
        <f>IMLOG10(10)</f>
        <v>1</v>
      </c>
      <c r="Q64" s="5" t="s">
        <v>266</v>
      </c>
      <c r="R64" s="49">
        <f t="shared" si="3"/>
        <v>1</v>
      </c>
    </row>
    <row r="65" spans="1:18">
      <c r="A65">
        <v>61</v>
      </c>
      <c r="B65" t="s">
        <v>311</v>
      </c>
      <c r="C65" s="12">
        <f>MIRR($G$8:$G$9,1,0)</f>
        <v>1</v>
      </c>
      <c r="D65" s="12">
        <v>1</v>
      </c>
      <c r="E65" s="49">
        <f t="shared" si="0"/>
        <v>1</v>
      </c>
      <c r="I65">
        <v>294</v>
      </c>
      <c r="J65" t="s">
        <v>414</v>
      </c>
      <c r="K65">
        <f>NORMSDIST(0)</f>
        <v>0.5</v>
      </c>
      <c r="L65">
        <v>0.5</v>
      </c>
      <c r="M65" s="49">
        <f t="shared" si="6"/>
        <v>1</v>
      </c>
      <c r="O65" t="s">
        <v>567</v>
      </c>
      <c r="P65" t="str">
        <f>IMLOG2(1)</f>
        <v>0</v>
      </c>
      <c r="Q65" s="5" t="s">
        <v>565</v>
      </c>
      <c r="R65" s="49">
        <f t="shared" si="3"/>
        <v>1</v>
      </c>
    </row>
    <row r="66" spans="1:18">
      <c r="A66">
        <v>62</v>
      </c>
      <c r="B66" t="s">
        <v>312</v>
      </c>
      <c r="C66" s="12">
        <f>IRR($G$8:$G$9)</f>
        <v>1.0815945991928727E-13</v>
      </c>
      <c r="D66" s="12">
        <v>1.0815945991928727E-13</v>
      </c>
      <c r="E66" s="49">
        <f>IF(IF(AND(ISERROR(C66),ISERROR(D66)),ERROR.TYPE(C66)=ERROR.TYPE(D66),IF(AND(NOT(ISERROR(C66)),NOT(ISERROR(D66))),AND(ISBLANK(C66)=ISBLANK(D66),(C66-D66)/D66&lt;0.0001))),1,"ERR!")</f>
        <v>1</v>
      </c>
      <c r="I66">
        <v>295</v>
      </c>
      <c r="J66" t="s">
        <v>415</v>
      </c>
      <c r="K66">
        <f>NORMINV(0.5,1,1)</f>
        <v>0.99999999999999989</v>
      </c>
      <c r="L66">
        <v>1</v>
      </c>
      <c r="M66" s="49">
        <f t="shared" si="6"/>
        <v>1</v>
      </c>
      <c r="O66" t="s">
        <v>568</v>
      </c>
      <c r="P66" t="str">
        <f>IMPOWER(1,1)</f>
        <v>1</v>
      </c>
      <c r="Q66" s="5" t="s">
        <v>266</v>
      </c>
      <c r="R66" s="49">
        <f t="shared" si="3"/>
        <v>1</v>
      </c>
    </row>
    <row r="67" spans="1:18">
      <c r="A67">
        <v>63</v>
      </c>
      <c r="B67" t="s">
        <v>313</v>
      </c>
      <c r="C67">
        <f ca="1">RAND()</f>
        <v>0.28108174847431799</v>
      </c>
      <c r="E67" s="49">
        <f ca="1">IF(IF(NOT(ISERROR(C67)),ISNUMBER(C67)),1,"ERR!")</f>
        <v>1</v>
      </c>
      <c r="I67">
        <v>296</v>
      </c>
      <c r="J67" t="s">
        <v>416</v>
      </c>
      <c r="K67">
        <f>NORMSINV(0.5)</f>
        <v>-1.392137635291833E-16</v>
      </c>
      <c r="L67">
        <v>-1.392137635291833E-16</v>
      </c>
      <c r="M67" s="49">
        <f t="shared" si="6"/>
        <v>1</v>
      </c>
      <c r="O67" t="s">
        <v>569</v>
      </c>
      <c r="P67" t="str">
        <f>IMPRODUCT(1)</f>
        <v>1</v>
      </c>
      <c r="Q67" s="5" t="s">
        <v>266</v>
      </c>
      <c r="R67" s="49">
        <f t="shared" si="3"/>
        <v>1</v>
      </c>
    </row>
    <row r="68" spans="1:18">
      <c r="A68">
        <v>64</v>
      </c>
      <c r="B68" t="s">
        <v>314</v>
      </c>
      <c r="C68">
        <f>MATCH(1,$F$7:$G$7)</f>
        <v>1</v>
      </c>
      <c r="D68">
        <v>1</v>
      </c>
      <c r="E68" s="49">
        <f t="shared" si="0"/>
        <v>1</v>
      </c>
      <c r="I68">
        <v>297</v>
      </c>
      <c r="J68" t="s">
        <v>417</v>
      </c>
      <c r="K68">
        <f>STANDARDIZE(1,1,1)</f>
        <v>0</v>
      </c>
      <c r="L68">
        <v>0</v>
      </c>
      <c r="M68" s="49">
        <f t="shared" si="4"/>
        <v>1</v>
      </c>
      <c r="O68" t="s">
        <v>570</v>
      </c>
      <c r="P68">
        <f>IMREAL(1)</f>
        <v>1</v>
      </c>
      <c r="Q68">
        <v>1</v>
      </c>
      <c r="R68" s="49">
        <f t="shared" si="3"/>
        <v>1</v>
      </c>
    </row>
    <row r="69" spans="1:18">
      <c r="A69">
        <v>65</v>
      </c>
      <c r="B69" t="s">
        <v>315</v>
      </c>
      <c r="C69" s="13">
        <f>DATE(1977,4,24)</f>
        <v>28239</v>
      </c>
      <c r="D69" s="13">
        <v>28239</v>
      </c>
      <c r="E69" s="49">
        <f t="shared" si="0"/>
        <v>1</v>
      </c>
      <c r="I69">
        <v>298</v>
      </c>
      <c r="J69" t="s">
        <v>418</v>
      </c>
      <c r="K69">
        <f>ODD(0)</f>
        <v>1</v>
      </c>
      <c r="L69">
        <v>1</v>
      </c>
      <c r="M69" s="49">
        <f t="shared" si="4"/>
        <v>1</v>
      </c>
      <c r="O69" t="s">
        <v>571</v>
      </c>
      <c r="P69" t="str">
        <f>IMSIN(0)</f>
        <v>0</v>
      </c>
      <c r="Q69" s="5" t="s">
        <v>565</v>
      </c>
      <c r="R69" s="49">
        <f t="shared" si="3"/>
        <v>1</v>
      </c>
    </row>
    <row r="70" spans="1:18">
      <c r="A70">
        <v>66</v>
      </c>
      <c r="B70" t="s">
        <v>316</v>
      </c>
      <c r="C70" s="14">
        <f>TIME(1,30,0)</f>
        <v>6.25E-2</v>
      </c>
      <c r="D70" s="14">
        <v>6.25E-2</v>
      </c>
      <c r="E70" s="49">
        <f t="shared" si="0"/>
        <v>1</v>
      </c>
      <c r="I70">
        <v>299</v>
      </c>
      <c r="J70" t="s">
        <v>419</v>
      </c>
      <c r="K70">
        <f>PERMUT(1,1)</f>
        <v>1</v>
      </c>
      <c r="L70">
        <v>1</v>
      </c>
      <c r="M70" s="49">
        <f t="shared" si="4"/>
        <v>1</v>
      </c>
      <c r="O70" t="s">
        <v>572</v>
      </c>
      <c r="P70" t="str">
        <f>IMSQRT(1)</f>
        <v>1</v>
      </c>
      <c r="Q70" s="5" t="s">
        <v>266</v>
      </c>
      <c r="R70" s="49">
        <f t="shared" si="3"/>
        <v>1</v>
      </c>
    </row>
    <row r="71" spans="1:18">
      <c r="A71">
        <v>67</v>
      </c>
      <c r="B71" t="s">
        <v>317</v>
      </c>
      <c r="C71">
        <f>DAY($D$69)</f>
        <v>24</v>
      </c>
      <c r="D71">
        <v>24</v>
      </c>
      <c r="E71" s="49">
        <f t="shared" ref="E71:E134" si="7">IF(IF(AND(ISERROR(C71),ISERROR(D71)),ERROR.TYPE(C71)=ERROR.TYPE(D71),IF(AND(NOT(ISERROR(C71)),NOT(ISERROR(D71))),AND(ISBLANK(C71)=ISBLANK(D71),C71=D71))),1,"ERR!")</f>
        <v>1</v>
      </c>
      <c r="I71">
        <v>300</v>
      </c>
      <c r="J71" t="s">
        <v>420</v>
      </c>
      <c r="K71">
        <f>POISSON(0,0,1)</f>
        <v>1</v>
      </c>
      <c r="L71">
        <v>1</v>
      </c>
      <c r="M71" s="49">
        <f t="shared" si="4"/>
        <v>1</v>
      </c>
      <c r="O71" t="s">
        <v>573</v>
      </c>
      <c r="P71" t="str">
        <f>IMSUB(1,0)</f>
        <v>1</v>
      </c>
      <c r="Q71" s="5" t="s">
        <v>266</v>
      </c>
      <c r="R71" s="49">
        <f t="shared" si="3"/>
        <v>1</v>
      </c>
    </row>
    <row r="72" spans="1:18">
      <c r="A72">
        <v>68</v>
      </c>
      <c r="B72" t="s">
        <v>318</v>
      </c>
      <c r="C72">
        <f>MONTH($D$69)</f>
        <v>4</v>
      </c>
      <c r="D72">
        <v>4</v>
      </c>
      <c r="E72" s="49">
        <f t="shared" si="7"/>
        <v>1</v>
      </c>
      <c r="I72">
        <v>301</v>
      </c>
      <c r="J72" t="s">
        <v>421</v>
      </c>
      <c r="K72">
        <f>TDIST(0,1,1)</f>
        <v>0.5</v>
      </c>
      <c r="L72">
        <v>0.5</v>
      </c>
      <c r="M72" s="49">
        <f t="shared" si="4"/>
        <v>1</v>
      </c>
      <c r="O72" t="s">
        <v>574</v>
      </c>
      <c r="P72" t="str">
        <f>IMSUM(1)</f>
        <v>1</v>
      </c>
      <c r="Q72" s="5" t="s">
        <v>266</v>
      </c>
      <c r="R72" s="49">
        <f t="shared" si="3"/>
        <v>1</v>
      </c>
    </row>
    <row r="73" spans="1:18">
      <c r="A73">
        <v>69</v>
      </c>
      <c r="B73" t="s">
        <v>319</v>
      </c>
      <c r="C73">
        <f>YEAR($D$69)</f>
        <v>1977</v>
      </c>
      <c r="D73">
        <v>1977</v>
      </c>
      <c r="E73" s="49">
        <f t="shared" si="7"/>
        <v>1</v>
      </c>
      <c r="I73">
        <v>302</v>
      </c>
      <c r="J73" t="s">
        <v>422</v>
      </c>
      <c r="K73">
        <f>WEIBULL(0,1,1,1)</f>
        <v>0</v>
      </c>
      <c r="L73">
        <v>0</v>
      </c>
      <c r="M73" s="49">
        <f t="shared" si="4"/>
        <v>1</v>
      </c>
      <c r="O73" t="s">
        <v>575</v>
      </c>
      <c r="P73">
        <f>INTRATE(1,2,1,1)</f>
        <v>0</v>
      </c>
      <c r="Q73">
        <v>0</v>
      </c>
      <c r="R73" s="49">
        <f t="shared" si="3"/>
        <v>1</v>
      </c>
    </row>
    <row r="74" spans="1:18">
      <c r="A74">
        <v>70</v>
      </c>
      <c r="B74" t="s">
        <v>320</v>
      </c>
      <c r="C74">
        <f>WEEKDAY($D$69)</f>
        <v>1</v>
      </c>
      <c r="D74">
        <v>1</v>
      </c>
      <c r="E74" s="49">
        <f t="shared" si="7"/>
        <v>1</v>
      </c>
      <c r="I74">
        <v>303</v>
      </c>
      <c r="J74" t="s">
        <v>423</v>
      </c>
      <c r="K74">
        <f>SUMXMY2(1,1)</f>
        <v>0</v>
      </c>
      <c r="L74">
        <v>0</v>
      </c>
      <c r="M74" s="49">
        <f t="shared" si="4"/>
        <v>1</v>
      </c>
      <c r="O74" t="s">
        <v>576</v>
      </c>
      <c r="P74" t="b">
        <f>ISEVEN(0)</f>
        <v>1</v>
      </c>
      <c r="Q74" t="b">
        <v>1</v>
      </c>
      <c r="R74" s="49">
        <f t="shared" si="3"/>
        <v>1</v>
      </c>
    </row>
    <row r="75" spans="1:18">
      <c r="A75">
        <v>71</v>
      </c>
      <c r="B75" t="s">
        <v>321</v>
      </c>
      <c r="C75">
        <f>HOUR($D$70)</f>
        <v>1</v>
      </c>
      <c r="D75">
        <v>1</v>
      </c>
      <c r="E75" s="49">
        <f t="shared" si="7"/>
        <v>1</v>
      </c>
      <c r="I75">
        <v>304</v>
      </c>
      <c r="J75" t="s">
        <v>424</v>
      </c>
      <c r="K75">
        <f>SUMX2MY2(1,1)</f>
        <v>0</v>
      </c>
      <c r="L75">
        <v>0</v>
      </c>
      <c r="M75" s="49">
        <f t="shared" si="4"/>
        <v>1</v>
      </c>
      <c r="O75" t="s">
        <v>577</v>
      </c>
      <c r="P75" t="b">
        <f>ISODD(1)</f>
        <v>1</v>
      </c>
      <c r="Q75" t="b">
        <v>1</v>
      </c>
      <c r="R75" s="49">
        <f t="shared" si="3"/>
        <v>1</v>
      </c>
    </row>
    <row r="76" spans="1:18">
      <c r="A76">
        <v>72</v>
      </c>
      <c r="B76" t="s">
        <v>322</v>
      </c>
      <c r="C76">
        <f>MINUTE($D$70)</f>
        <v>30</v>
      </c>
      <c r="D76">
        <v>30</v>
      </c>
      <c r="E76" s="49">
        <f t="shared" si="7"/>
        <v>1</v>
      </c>
      <c r="I76">
        <v>305</v>
      </c>
      <c r="J76" t="s">
        <v>425</v>
      </c>
      <c r="K76">
        <f>SUMX2PY2(1,1)</f>
        <v>2</v>
      </c>
      <c r="L76">
        <v>2</v>
      </c>
      <c r="M76" s="49">
        <f t="shared" si="4"/>
        <v>1</v>
      </c>
      <c r="O76" t="s">
        <v>578</v>
      </c>
      <c r="P76">
        <f>LCM(1)</f>
        <v>1</v>
      </c>
      <c r="Q76">
        <v>1</v>
      </c>
      <c r="R76" s="49">
        <f t="shared" si="3"/>
        <v>1</v>
      </c>
    </row>
    <row r="77" spans="1:18">
      <c r="A77">
        <v>73</v>
      </c>
      <c r="B77" t="s">
        <v>323</v>
      </c>
      <c r="C77">
        <f>SECOND($D$70)</f>
        <v>0</v>
      </c>
      <c r="D77">
        <v>0</v>
      </c>
      <c r="E77" s="49">
        <f t="shared" si="7"/>
        <v>1</v>
      </c>
      <c r="I77">
        <v>306</v>
      </c>
      <c r="J77" t="s">
        <v>426</v>
      </c>
      <c r="K77">
        <f>CHITEST($F$7:$F$8,$F$7:$F$8)</f>
        <v>1</v>
      </c>
      <c r="L77">
        <v>1</v>
      </c>
      <c r="M77" s="49">
        <f t="shared" si="4"/>
        <v>1</v>
      </c>
      <c r="O77" t="s">
        <v>579</v>
      </c>
      <c r="P77">
        <f>MDURATION(1000,1365,1,0,1)</f>
        <v>1</v>
      </c>
      <c r="Q77">
        <v>1</v>
      </c>
      <c r="R77" s="49">
        <f t="shared" si="3"/>
        <v>1</v>
      </c>
    </row>
    <row r="78" spans="1:18">
      <c r="A78">
        <v>74</v>
      </c>
      <c r="B78" t="s">
        <v>324</v>
      </c>
      <c r="C78" s="14">
        <f ca="1">NOW()</f>
        <v>39993.750674884257</v>
      </c>
      <c r="E78" s="49">
        <f ca="1">IF(IF(NOT(ISERROR(C78)),ISNUMBER(C78)),1,"ERR!")</f>
        <v>1</v>
      </c>
      <c r="I78">
        <v>307</v>
      </c>
      <c r="J78" t="s">
        <v>427</v>
      </c>
      <c r="K78">
        <f>CORREL($F$7:$G$7,$F$7:$G$7)</f>
        <v>1</v>
      </c>
      <c r="L78">
        <v>1</v>
      </c>
      <c r="M78" s="49">
        <f t="shared" si="4"/>
        <v>1</v>
      </c>
      <c r="O78" t="s">
        <v>580</v>
      </c>
      <c r="P78">
        <f>MROUND(1,1)</f>
        <v>1</v>
      </c>
      <c r="Q78">
        <v>1</v>
      </c>
      <c r="R78" s="49">
        <f t="shared" si="3"/>
        <v>1</v>
      </c>
    </row>
    <row r="79" spans="1:18">
      <c r="A79">
        <v>75</v>
      </c>
      <c r="B79" t="s">
        <v>325</v>
      </c>
      <c r="C79">
        <f>AREAS(A1)</f>
        <v>1</v>
      </c>
      <c r="D79">
        <v>1</v>
      </c>
      <c r="E79" s="49">
        <f t="shared" si="7"/>
        <v>1</v>
      </c>
      <c r="I79">
        <v>308</v>
      </c>
      <c r="J79" t="s">
        <v>428</v>
      </c>
      <c r="K79">
        <f>COVAR($F$7:$F$8,$F$7:$F$8)</f>
        <v>0</v>
      </c>
      <c r="L79">
        <v>0</v>
      </c>
      <c r="M79" s="49">
        <f t="shared" si="4"/>
        <v>1</v>
      </c>
      <c r="O79" t="s">
        <v>581</v>
      </c>
      <c r="P79">
        <f>MULTINOMIAL(1)</f>
        <v>1</v>
      </c>
      <c r="Q79">
        <v>1</v>
      </c>
      <c r="R79" s="49">
        <f t="shared" ref="R79:R107" si="8">IF(IF(AND(ISERROR(P79),ISERROR(Q79)),ERROR.TYPE(P79)=ERROR.TYPE(Q79),IF(AND(NOT(ISERROR(P79)),NOT(ISERROR(Q79))),AND(ISBLANK(P79)=ISBLANK(Q79),P79=Q79))),1,"ERR!")</f>
        <v>1</v>
      </c>
    </row>
    <row r="80" spans="1:18">
      <c r="A80">
        <v>76</v>
      </c>
      <c r="B80" t="s">
        <v>326</v>
      </c>
      <c r="C80">
        <f>ROWS(A1)</f>
        <v>1</v>
      </c>
      <c r="D80">
        <v>1</v>
      </c>
      <c r="E80" s="49">
        <f t="shared" si="7"/>
        <v>1</v>
      </c>
      <c r="I80">
        <v>309</v>
      </c>
      <c r="J80" t="s">
        <v>429</v>
      </c>
      <c r="K80">
        <f>FORECAST(1,$F$7:$G$7,$F$7:$G$7)</f>
        <v>1</v>
      </c>
      <c r="L80">
        <v>1</v>
      </c>
      <c r="M80" s="49">
        <f t="shared" ref="M80:M81" si="9">IF(IF(AND(ISERROR(K80),ISERROR(L80)),ERROR.TYPE(K80)=ERROR.TYPE(L80),IF(AND(NOT(ISERROR(K80)),NOT(ISERROR(L80))),AND(ISBLANK(K80)=ISBLANK(L80),(K80-L80)/L80&lt;0.0001))),1,"ERR!")</f>
        <v>1</v>
      </c>
      <c r="O80" t="s">
        <v>582</v>
      </c>
      <c r="P80">
        <f>NETWORKDAYS(1,2)</f>
        <v>1</v>
      </c>
      <c r="Q80">
        <v>1</v>
      </c>
      <c r="R80" s="49">
        <f t="shared" si="8"/>
        <v>1</v>
      </c>
    </row>
    <row r="81" spans="1:18">
      <c r="A81">
        <v>77</v>
      </c>
      <c r="B81" t="s">
        <v>327</v>
      </c>
      <c r="C81">
        <f>COLUMNS(A1)</f>
        <v>1</v>
      </c>
      <c r="D81">
        <v>1</v>
      </c>
      <c r="E81" s="49">
        <f t="shared" si="7"/>
        <v>1</v>
      </c>
      <c r="I81">
        <v>310</v>
      </c>
      <c r="J81" t="s">
        <v>430</v>
      </c>
      <c r="K81">
        <f>FTEST($F$7:$G$7,$F$7:$G$7)</f>
        <v>0.99999999876551948</v>
      </c>
      <c r="L81">
        <v>0.99999999876551948</v>
      </c>
      <c r="M81" s="49">
        <f t="shared" si="9"/>
        <v>1</v>
      </c>
      <c r="O81" t="s">
        <v>583</v>
      </c>
      <c r="P81">
        <f>NOMINAL(1,1)</f>
        <v>1</v>
      </c>
      <c r="Q81">
        <v>1</v>
      </c>
      <c r="R81" s="49">
        <f t="shared" si="8"/>
        <v>1</v>
      </c>
    </row>
    <row r="82" spans="1:18">
      <c r="A82">
        <v>78</v>
      </c>
      <c r="B82" t="s">
        <v>328</v>
      </c>
      <c r="C82">
        <f ca="1">OFFSET($F$7,0,0)</f>
        <v>1</v>
      </c>
      <c r="D82">
        <v>1</v>
      </c>
      <c r="E82" s="49">
        <f t="shared" ca="1" si="7"/>
        <v>1</v>
      </c>
      <c r="I82">
        <v>311</v>
      </c>
      <c r="J82" t="s">
        <v>431</v>
      </c>
      <c r="K82">
        <f>INTERCEPT($F$7:$G$7,$F$7:$G$7)</f>
        <v>0</v>
      </c>
      <c r="L82">
        <v>0</v>
      </c>
      <c r="M82" s="49">
        <f t="shared" si="4"/>
        <v>1</v>
      </c>
      <c r="O82" t="s">
        <v>584</v>
      </c>
      <c r="P82" t="str">
        <f>OCT2BIN("1")</f>
        <v>1</v>
      </c>
      <c r="Q82" s="5" t="s">
        <v>266</v>
      </c>
      <c r="R82" s="49">
        <f t="shared" si="8"/>
        <v>1</v>
      </c>
    </row>
    <row r="83" spans="1:18">
      <c r="A83">
        <v>82</v>
      </c>
      <c r="B83" t="s">
        <v>329</v>
      </c>
      <c r="C83">
        <f>SEARCH("1","1")</f>
        <v>1</v>
      </c>
      <c r="D83">
        <v>1</v>
      </c>
      <c r="E83" s="49">
        <f t="shared" si="7"/>
        <v>1</v>
      </c>
      <c r="I83">
        <v>312</v>
      </c>
      <c r="J83" t="s">
        <v>432</v>
      </c>
      <c r="K83">
        <f>PEARSON($F$7:$G$7,$F$7:$G$7)</f>
        <v>1</v>
      </c>
      <c r="L83">
        <v>1</v>
      </c>
      <c r="M83" s="49">
        <f t="shared" si="4"/>
        <v>1</v>
      </c>
      <c r="O83" t="s">
        <v>585</v>
      </c>
      <c r="P83">
        <f>OCT2DEC("1")</f>
        <v>1</v>
      </c>
      <c r="Q83">
        <v>1</v>
      </c>
      <c r="R83" s="49">
        <f t="shared" si="8"/>
        <v>1</v>
      </c>
    </row>
    <row r="84" spans="1:18">
      <c r="A84">
        <v>83</v>
      </c>
      <c r="B84" t="s">
        <v>330</v>
      </c>
      <c r="C84">
        <f>TRANSPOSE(1)</f>
        <v>1</v>
      </c>
      <c r="D84">
        <v>1</v>
      </c>
      <c r="E84" s="49">
        <f t="shared" si="7"/>
        <v>1</v>
      </c>
      <c r="I84">
        <v>313</v>
      </c>
      <c r="J84" t="s">
        <v>433</v>
      </c>
      <c r="K84">
        <f>RSQ($F$7:$G$7,$F$7:$G$7)</f>
        <v>1</v>
      </c>
      <c r="L84">
        <v>1</v>
      </c>
      <c r="M84" s="49">
        <f t="shared" si="4"/>
        <v>1</v>
      </c>
      <c r="O84" t="s">
        <v>586</v>
      </c>
      <c r="P84" t="str">
        <f>OCT2HEX("1")</f>
        <v>1</v>
      </c>
      <c r="Q84" s="5" t="s">
        <v>266</v>
      </c>
      <c r="R84" s="49">
        <f t="shared" si="8"/>
        <v>1</v>
      </c>
    </row>
    <row r="85" spans="1:18">
      <c r="A85">
        <v>86</v>
      </c>
      <c r="B85" t="s">
        <v>331</v>
      </c>
      <c r="C85">
        <f>TYPE(1)</f>
        <v>1</v>
      </c>
      <c r="D85">
        <v>1</v>
      </c>
      <c r="E85" s="49">
        <f t="shared" si="7"/>
        <v>1</v>
      </c>
      <c r="I85">
        <v>314</v>
      </c>
      <c r="J85" t="s">
        <v>434</v>
      </c>
      <c r="K85">
        <f>STEYX($F$7:$F$9,$G$7:$G$9)</f>
        <v>0</v>
      </c>
      <c r="L85">
        <v>0</v>
      </c>
      <c r="M85" s="49">
        <f t="shared" si="4"/>
        <v>1</v>
      </c>
      <c r="O85" t="s">
        <v>587</v>
      </c>
      <c r="P85">
        <f>ODDFPRICE(39760,44256,39736,39873,0.05,0.05,100,1)</f>
        <v>100.02093538775439</v>
      </c>
      <c r="Q85">
        <v>100.02093538775439</v>
      </c>
      <c r="R85" s="49">
        <f t="shared" si="8"/>
        <v>1</v>
      </c>
    </row>
    <row r="86" spans="1:18">
      <c r="A86">
        <v>97</v>
      </c>
      <c r="B86" t="s">
        <v>332</v>
      </c>
      <c r="C86">
        <f>ATAN2(1,0)</f>
        <v>0</v>
      </c>
      <c r="D86">
        <v>0</v>
      </c>
      <c r="E86" s="49">
        <f t="shared" si="7"/>
        <v>1</v>
      </c>
      <c r="I86">
        <v>315</v>
      </c>
      <c r="J86" t="s">
        <v>435</v>
      </c>
      <c r="K86">
        <f>SLOPE($F$7:$F$9,$G$7:$G$9)</f>
        <v>0</v>
      </c>
      <c r="L86">
        <v>0</v>
      </c>
      <c r="M86" s="49">
        <f t="shared" si="4"/>
        <v>1</v>
      </c>
      <c r="O86" t="s">
        <v>588</v>
      </c>
      <c r="P86">
        <f>ODDFYIELD(39760,44256,39736,39873,0.05,0.05,100,1)</f>
        <v>188.23040693136062</v>
      </c>
      <c r="Q86">
        <v>188.23040693136065</v>
      </c>
      <c r="R86" s="49">
        <f t="shared" si="8"/>
        <v>1</v>
      </c>
    </row>
    <row r="87" spans="1:18">
      <c r="A87">
        <v>98</v>
      </c>
      <c r="B87" t="s">
        <v>333</v>
      </c>
      <c r="C87">
        <f>ASIN(0)</f>
        <v>0</v>
      </c>
      <c r="D87">
        <v>0</v>
      </c>
      <c r="E87" s="49">
        <f t="shared" si="7"/>
        <v>1</v>
      </c>
      <c r="I87">
        <v>316</v>
      </c>
      <c r="J87" t="s">
        <v>436</v>
      </c>
      <c r="K87">
        <f>TTEST($F$7:$F$9,$G$7:$G$9,1,1)</f>
        <v>0.41296117202981381</v>
      </c>
      <c r="L87">
        <v>0.41296117202981381</v>
      </c>
      <c r="M87" s="49">
        <f t="shared" ref="M87" si="10">IF(IF(AND(ISERROR(K87),ISERROR(L87)),ERROR.TYPE(K87)=ERROR.TYPE(L87),IF(AND(NOT(ISERROR(K87)),NOT(ISERROR(L87))),AND(ISBLANK(K87)=ISBLANK(L87),(K87-L87)/L87&lt;0.0001))),1,"ERR!")</f>
        <v>1</v>
      </c>
      <c r="O87" t="s">
        <v>589</v>
      </c>
      <c r="P87">
        <f>ODDLPRICE(39760,44256,39736,0.05,0.05,1,1)</f>
        <v>38.604306952443729</v>
      </c>
      <c r="Q87">
        <v>38.604306952443729</v>
      </c>
      <c r="R87" s="49">
        <f t="shared" si="8"/>
        <v>1</v>
      </c>
    </row>
    <row r="88" spans="1:18">
      <c r="A88">
        <v>99</v>
      </c>
      <c r="B88" t="s">
        <v>334</v>
      </c>
      <c r="C88">
        <f>ACOS(1)</f>
        <v>0</v>
      </c>
      <c r="D88">
        <v>0</v>
      </c>
      <c r="E88" s="49">
        <f t="shared" si="7"/>
        <v>1</v>
      </c>
      <c r="I88">
        <v>317</v>
      </c>
      <c r="J88" t="s">
        <v>437</v>
      </c>
      <c r="K88">
        <f>PROB(1,1,1)</f>
        <v>1</v>
      </c>
      <c r="L88">
        <v>1</v>
      </c>
      <c r="M88" s="49">
        <f t="shared" si="4"/>
        <v>1</v>
      </c>
      <c r="O88" t="s">
        <v>590</v>
      </c>
      <c r="P88">
        <f>ODDLYIELD(39760,44256,39736,0.05,0.05,1,1)</f>
        <v>13.742658021096053</v>
      </c>
      <c r="Q88">
        <v>13.742658021096053</v>
      </c>
      <c r="R88" s="49">
        <f t="shared" si="8"/>
        <v>1</v>
      </c>
    </row>
    <row r="89" spans="1:18">
      <c r="A89">
        <v>100</v>
      </c>
      <c r="B89" t="s">
        <v>335</v>
      </c>
      <c r="C89">
        <f>CHOOSE(1,1)</f>
        <v>1</v>
      </c>
      <c r="D89">
        <v>1</v>
      </c>
      <c r="E89" s="49">
        <f t="shared" si="7"/>
        <v>1</v>
      </c>
      <c r="I89">
        <v>318</v>
      </c>
      <c r="J89" t="s">
        <v>438</v>
      </c>
      <c r="K89">
        <f>DEVSQ(1)</f>
        <v>0</v>
      </c>
      <c r="L89">
        <v>0</v>
      </c>
      <c r="M89" s="49">
        <f t="shared" si="4"/>
        <v>1</v>
      </c>
      <c r="O89" t="s">
        <v>591</v>
      </c>
      <c r="P89">
        <f>PRICE(39760,44256,0.05,0.05,1,1)</f>
        <v>45.68456789437338</v>
      </c>
      <c r="Q89">
        <v>45.68456789437338</v>
      </c>
      <c r="R89" s="49">
        <f t="shared" si="8"/>
        <v>1</v>
      </c>
    </row>
    <row r="90" spans="1:18">
      <c r="A90">
        <v>101</v>
      </c>
      <c r="B90" t="s">
        <v>336</v>
      </c>
      <c r="C90">
        <f>HLOOKUP(1,$F$7:$G$8,1)</f>
        <v>1</v>
      </c>
      <c r="D90">
        <v>1</v>
      </c>
      <c r="E90" s="49">
        <f t="shared" si="7"/>
        <v>1</v>
      </c>
      <c r="I90">
        <v>319</v>
      </c>
      <c r="J90" t="s">
        <v>439</v>
      </c>
      <c r="K90">
        <f>GEOMEAN(1)</f>
        <v>1</v>
      </c>
      <c r="L90">
        <v>1</v>
      </c>
      <c r="M90" s="49">
        <f t="shared" si="4"/>
        <v>1</v>
      </c>
      <c r="O90" t="s">
        <v>592</v>
      </c>
      <c r="P90">
        <f>PRICEDISC(1,366,1,1)</f>
        <v>0</v>
      </c>
      <c r="Q90">
        <v>0</v>
      </c>
      <c r="R90" s="49">
        <f t="shared" si="8"/>
        <v>1</v>
      </c>
    </row>
    <row r="91" spans="1:18">
      <c r="A91">
        <v>102</v>
      </c>
      <c r="B91" t="s">
        <v>337</v>
      </c>
      <c r="C91">
        <f>VLOOKUP(1,$F$7:$G$8,1)</f>
        <v>1</v>
      </c>
      <c r="D91">
        <v>1</v>
      </c>
      <c r="E91" s="49">
        <f t="shared" si="7"/>
        <v>1</v>
      </c>
      <c r="I91">
        <v>320</v>
      </c>
      <c r="J91" t="s">
        <v>440</v>
      </c>
      <c r="K91">
        <f>HARMEAN(1)</f>
        <v>1</v>
      </c>
      <c r="L91">
        <v>1</v>
      </c>
      <c r="M91" s="49">
        <f t="shared" si="4"/>
        <v>1</v>
      </c>
      <c r="O91" t="s">
        <v>593</v>
      </c>
      <c r="P91">
        <f>PRICEMAT(1,366,0.1,0,0)</f>
        <v>100</v>
      </c>
      <c r="Q91">
        <v>100</v>
      </c>
      <c r="R91" s="49">
        <f t="shared" si="8"/>
        <v>1</v>
      </c>
    </row>
    <row r="92" spans="1:18">
      <c r="A92">
        <v>105</v>
      </c>
      <c r="B92" t="s">
        <v>338</v>
      </c>
      <c r="C92" t="b">
        <f>ISREF(A1)</f>
        <v>1</v>
      </c>
      <c r="D92" t="b">
        <v>1</v>
      </c>
      <c r="E92" s="49">
        <f t="shared" si="7"/>
        <v>1</v>
      </c>
      <c r="I92">
        <v>321</v>
      </c>
      <c r="J92" t="s">
        <v>441</v>
      </c>
      <c r="K92">
        <f>SUMSQ(1)</f>
        <v>1</v>
      </c>
      <c r="L92">
        <v>1</v>
      </c>
      <c r="M92" s="49">
        <f t="shared" si="4"/>
        <v>1</v>
      </c>
      <c r="O92" t="s">
        <v>594</v>
      </c>
      <c r="P92">
        <f>QUOTIENT(1,1)</f>
        <v>1</v>
      </c>
      <c r="Q92">
        <v>1</v>
      </c>
      <c r="R92" s="49">
        <f t="shared" si="8"/>
        <v>1</v>
      </c>
    </row>
    <row r="93" spans="1:18">
      <c r="A93">
        <v>109</v>
      </c>
      <c r="B93" t="s">
        <v>339</v>
      </c>
      <c r="C93">
        <f>LOG(1)</f>
        <v>0</v>
      </c>
      <c r="D93">
        <v>0</v>
      </c>
      <c r="E93" s="49">
        <f t="shared" si="7"/>
        <v>1</v>
      </c>
      <c r="I93">
        <v>322</v>
      </c>
      <c r="J93" t="s">
        <v>442</v>
      </c>
      <c r="K93">
        <f>KURT(1,2,3,4)</f>
        <v>-1.1999999999999975</v>
      </c>
      <c r="L93">
        <v>-1.2</v>
      </c>
      <c r="M93" s="49">
        <f t="shared" si="4"/>
        <v>1</v>
      </c>
      <c r="O93" t="s">
        <v>595</v>
      </c>
      <c r="P93">
        <f ca="1">RANDBETWEEN(0,0)</f>
        <v>0</v>
      </c>
      <c r="Q93">
        <v>0</v>
      </c>
      <c r="R93" s="49">
        <f t="shared" ca="1" si="8"/>
        <v>1</v>
      </c>
    </row>
    <row r="94" spans="1:18">
      <c r="A94">
        <v>111</v>
      </c>
      <c r="B94" t="s">
        <v>340</v>
      </c>
      <c r="C94" t="str">
        <f>CHAR(65)</f>
        <v>A</v>
      </c>
      <c r="D94" t="s">
        <v>283</v>
      </c>
      <c r="E94" s="49">
        <f t="shared" si="7"/>
        <v>1</v>
      </c>
      <c r="I94">
        <v>323</v>
      </c>
      <c r="J94" t="s">
        <v>443</v>
      </c>
      <c r="K94">
        <f>SKEW(1,2,3)</f>
        <v>0</v>
      </c>
      <c r="L94">
        <v>0</v>
      </c>
      <c r="M94" s="49">
        <f t="shared" si="4"/>
        <v>1</v>
      </c>
      <c r="O94" t="s">
        <v>596</v>
      </c>
      <c r="P94">
        <f>RECEIVED(1,366,0.5,0.5)</f>
        <v>1</v>
      </c>
      <c r="Q94">
        <v>1</v>
      </c>
      <c r="R94" s="49">
        <f t="shared" si="8"/>
        <v>1</v>
      </c>
    </row>
    <row r="95" spans="1:18">
      <c r="A95">
        <v>112</v>
      </c>
      <c r="B95" t="s">
        <v>341</v>
      </c>
      <c r="C95" t="str">
        <f>LOWER("A")</f>
        <v>a</v>
      </c>
      <c r="D95" t="s">
        <v>342</v>
      </c>
      <c r="E95" s="49">
        <f t="shared" si="7"/>
        <v>1</v>
      </c>
      <c r="I95">
        <v>324</v>
      </c>
      <c r="J95" t="s">
        <v>444</v>
      </c>
      <c r="K95">
        <f>ZTEST($F$7:$G$7,0)</f>
        <v>1.3498980316301035E-3</v>
      </c>
      <c r="L95">
        <v>1.3498980316301035E-3</v>
      </c>
      <c r="M95" s="49">
        <f t="shared" ref="M95" si="11">IF(IF(AND(ISERROR(K95),ISERROR(L95)),ERROR.TYPE(K95)=ERROR.TYPE(L95),IF(AND(NOT(ISERROR(K95)),NOT(ISERROR(L95))),AND(ISBLANK(K95)=ISBLANK(L95),(K95-L95)/L95&lt;0.0001))),1,"ERR!")</f>
        <v>1</v>
      </c>
      <c r="O95" t="s">
        <v>597</v>
      </c>
      <c r="P95">
        <f>SERIESSUM(1,1,1,1)</f>
        <v>1</v>
      </c>
      <c r="Q95">
        <v>1</v>
      </c>
      <c r="R95" s="49">
        <f t="shared" si="8"/>
        <v>1</v>
      </c>
    </row>
    <row r="96" spans="1:18">
      <c r="A96">
        <v>113</v>
      </c>
      <c r="B96" t="s">
        <v>343</v>
      </c>
      <c r="C96" t="str">
        <f>UPPER("a")</f>
        <v>A</v>
      </c>
      <c r="D96" t="s">
        <v>283</v>
      </c>
      <c r="E96" s="49">
        <f t="shared" si="7"/>
        <v>1</v>
      </c>
      <c r="I96">
        <v>325</v>
      </c>
      <c r="J96" t="s">
        <v>445</v>
      </c>
      <c r="K96">
        <f>LARGE(1,1)</f>
        <v>1</v>
      </c>
      <c r="L96">
        <v>1</v>
      </c>
      <c r="M96" s="49">
        <f t="shared" si="4"/>
        <v>1</v>
      </c>
      <c r="O96" t="s">
        <v>598</v>
      </c>
      <c r="P96">
        <f>SQRTPI(0)</f>
        <v>0</v>
      </c>
      <c r="Q96">
        <v>0</v>
      </c>
      <c r="R96" s="49">
        <f t="shared" si="8"/>
        <v>1</v>
      </c>
    </row>
    <row r="97" spans="1:18">
      <c r="A97">
        <v>114</v>
      </c>
      <c r="B97" t="s">
        <v>344</v>
      </c>
      <c r="C97" t="str">
        <f>PROPER("aa")</f>
        <v>Aa</v>
      </c>
      <c r="D97" t="s">
        <v>345</v>
      </c>
      <c r="E97" s="49">
        <f t="shared" si="7"/>
        <v>1</v>
      </c>
      <c r="I97">
        <v>326</v>
      </c>
      <c r="J97" t="s">
        <v>446</v>
      </c>
      <c r="K97">
        <f>SMALL(1,1)</f>
        <v>1</v>
      </c>
      <c r="L97">
        <v>1</v>
      </c>
      <c r="M97" s="49">
        <f t="shared" si="4"/>
        <v>1</v>
      </c>
      <c r="O97" t="s">
        <v>599</v>
      </c>
      <c r="P97">
        <f>TBILLEQ(10000,10366,0.1)</f>
        <v>0.11013984535998977</v>
      </c>
      <c r="Q97">
        <v>0.11013984535998977</v>
      </c>
      <c r="R97" s="49">
        <f t="shared" si="8"/>
        <v>1</v>
      </c>
    </row>
    <row r="98" spans="1:18">
      <c r="A98">
        <v>115</v>
      </c>
      <c r="B98" t="s">
        <v>346</v>
      </c>
      <c r="C98" t="str">
        <f>LEFT("A")</f>
        <v>A</v>
      </c>
      <c r="D98" t="s">
        <v>283</v>
      </c>
      <c r="E98" s="49">
        <f t="shared" si="7"/>
        <v>1</v>
      </c>
      <c r="I98">
        <v>327</v>
      </c>
      <c r="J98" t="s">
        <v>447</v>
      </c>
      <c r="K98">
        <f>QUARTILE(1,1)</f>
        <v>1</v>
      </c>
      <c r="L98">
        <v>1</v>
      </c>
      <c r="M98" s="49">
        <f t="shared" si="4"/>
        <v>1</v>
      </c>
      <c r="O98" t="s">
        <v>600</v>
      </c>
      <c r="P98">
        <f>TBILLPRICE(10000,10366,0.1)</f>
        <v>89.833333333333329</v>
      </c>
      <c r="Q98">
        <v>89.833333333333329</v>
      </c>
      <c r="R98" s="49">
        <f t="shared" si="8"/>
        <v>1</v>
      </c>
    </row>
    <row r="99" spans="1:18">
      <c r="A99">
        <v>116</v>
      </c>
      <c r="B99" t="s">
        <v>347</v>
      </c>
      <c r="C99" t="str">
        <f>RIGHT("A")</f>
        <v>A</v>
      </c>
      <c r="D99" t="s">
        <v>283</v>
      </c>
      <c r="E99" s="49">
        <f t="shared" si="7"/>
        <v>1</v>
      </c>
      <c r="I99">
        <v>328</v>
      </c>
      <c r="J99" t="s">
        <v>448</v>
      </c>
      <c r="K99">
        <f>PERCENTILE(1,1)</f>
        <v>1</v>
      </c>
      <c r="L99">
        <v>1</v>
      </c>
      <c r="M99" s="49">
        <f t="shared" si="4"/>
        <v>1</v>
      </c>
      <c r="O99" t="s">
        <v>601</v>
      </c>
      <c r="P99">
        <f>TBILLYIELD(10000,10366,0.1)</f>
        <v>982.62295081967216</v>
      </c>
      <c r="Q99">
        <v>982.62295081967216</v>
      </c>
      <c r="R99" s="49">
        <f t="shared" si="8"/>
        <v>1</v>
      </c>
    </row>
    <row r="100" spans="1:18">
      <c r="A100">
        <v>117</v>
      </c>
      <c r="B100" t="s">
        <v>348</v>
      </c>
      <c r="C100" t="b">
        <f>EXACT("A","A")</f>
        <v>1</v>
      </c>
      <c r="D100" t="b">
        <v>1</v>
      </c>
      <c r="E100" s="49">
        <f t="shared" si="7"/>
        <v>1</v>
      </c>
      <c r="I100">
        <v>329</v>
      </c>
      <c r="J100" t="s">
        <v>449</v>
      </c>
      <c r="K100">
        <f>PERCENTRANK(1,1)</f>
        <v>1</v>
      </c>
      <c r="L100">
        <v>1</v>
      </c>
      <c r="M100" s="49">
        <f t="shared" ref="M100:M102" si="12">IF(IF(AND(ISERROR(K100),ISERROR(L100)),ERROR.TYPE(K100)=ERROR.TYPE(L100),IF(AND(NOT(ISERROR(K100)),NOT(ISERROR(L100))),AND(ISBLANK(K100)=ISBLANK(L100),K100=L100))),1,"ERR!")</f>
        <v>1</v>
      </c>
      <c r="O100" t="s">
        <v>602</v>
      </c>
      <c r="P100">
        <f>WEEKNUM(1)</f>
        <v>1</v>
      </c>
      <c r="Q100">
        <v>1</v>
      </c>
      <c r="R100" s="49">
        <f t="shared" si="8"/>
        <v>1</v>
      </c>
    </row>
    <row r="101" spans="1:18">
      <c r="A101">
        <v>118</v>
      </c>
      <c r="B101" t="s">
        <v>349</v>
      </c>
      <c r="C101" t="str">
        <f>TRIM(" A ")</f>
        <v>A</v>
      </c>
      <c r="D101" t="s">
        <v>283</v>
      </c>
      <c r="E101" s="49">
        <f t="shared" si="7"/>
        <v>1</v>
      </c>
      <c r="I101">
        <v>330</v>
      </c>
      <c r="J101" t="s">
        <v>450</v>
      </c>
      <c r="K101">
        <f>MODE(1,1)</f>
        <v>1</v>
      </c>
      <c r="L101">
        <v>1</v>
      </c>
      <c r="M101" s="49">
        <f t="shared" si="12"/>
        <v>1</v>
      </c>
      <c r="O101" t="s">
        <v>603</v>
      </c>
      <c r="P101">
        <f>WORKDAY(1,0)</f>
        <v>1</v>
      </c>
      <c r="Q101">
        <v>1</v>
      </c>
      <c r="R101" s="49">
        <f t="shared" si="8"/>
        <v>1</v>
      </c>
    </row>
    <row r="102" spans="1:18">
      <c r="A102">
        <v>119</v>
      </c>
      <c r="B102" t="s">
        <v>350</v>
      </c>
      <c r="C102" t="str">
        <f>REPLACE("B",1,1,"A")</f>
        <v>A</v>
      </c>
      <c r="D102" t="s">
        <v>283</v>
      </c>
      <c r="E102" s="49">
        <f t="shared" si="7"/>
        <v>1</v>
      </c>
      <c r="I102">
        <v>331</v>
      </c>
      <c r="J102" t="s">
        <v>451</v>
      </c>
      <c r="K102">
        <f>TRIMMEAN(1,0.5)</f>
        <v>1</v>
      </c>
      <c r="L102">
        <v>1</v>
      </c>
      <c r="M102" s="49">
        <f t="shared" si="12"/>
        <v>1</v>
      </c>
      <c r="O102" t="s">
        <v>604</v>
      </c>
      <c r="P102">
        <f>XIRR($G$8:$G$9,$F$8:$F$9)</f>
        <v>2.9802322387695314E-9</v>
      </c>
      <c r="Q102">
        <v>2.9802322387695314E-9</v>
      </c>
      <c r="R102" s="49">
        <f t="shared" si="8"/>
        <v>1</v>
      </c>
    </row>
    <row r="103" spans="1:18">
      <c r="A103">
        <v>120</v>
      </c>
      <c r="B103" t="s">
        <v>351</v>
      </c>
      <c r="C103" t="str">
        <f>SUBSTITUTE("B","B","A")</f>
        <v>A</v>
      </c>
      <c r="D103" t="s">
        <v>283</v>
      </c>
      <c r="E103" s="49">
        <f t="shared" si="7"/>
        <v>1</v>
      </c>
      <c r="I103">
        <v>332</v>
      </c>
      <c r="J103" t="s">
        <v>452</v>
      </c>
      <c r="K103">
        <f>TINV(1,2)</f>
        <v>1.4904798728673925E-8</v>
      </c>
      <c r="L103">
        <v>1.4904798728673925E-8</v>
      </c>
      <c r="M103" s="49">
        <f t="shared" ref="M103" si="13">IF(IF(AND(ISERROR(K103),ISERROR(L103)),ERROR.TYPE(K103)=ERROR.TYPE(L103),IF(AND(NOT(ISERROR(K103)),NOT(ISERROR(L103))),AND(ISBLANK(K103)=ISBLANK(L103),(K103-L103)/L103&lt;0.0001))),1,"ERR!")</f>
        <v>1</v>
      </c>
      <c r="O103" t="s">
        <v>605</v>
      </c>
      <c r="P103">
        <f>XNPV(1,$G$8:$G$9,$F$8:$F$9)</f>
        <v>0</v>
      </c>
      <c r="Q103">
        <v>0</v>
      </c>
      <c r="R103" s="49">
        <f t="shared" si="8"/>
        <v>1</v>
      </c>
    </row>
    <row r="104" spans="1:18">
      <c r="A104">
        <v>121</v>
      </c>
      <c r="B104" t="s">
        <v>352</v>
      </c>
      <c r="C104">
        <f>CODE("A")</f>
        <v>65</v>
      </c>
      <c r="D104">
        <v>65</v>
      </c>
      <c r="E104" s="49">
        <f t="shared" si="7"/>
        <v>1</v>
      </c>
      <c r="O104" t="s">
        <v>606</v>
      </c>
      <c r="P104">
        <f>YEARFRAC(1,366)</f>
        <v>1</v>
      </c>
      <c r="Q104">
        <v>1</v>
      </c>
      <c r="R104" s="49">
        <f t="shared" si="8"/>
        <v>1</v>
      </c>
    </row>
    <row r="105" spans="1:18" ht="15.75">
      <c r="A105">
        <v>124</v>
      </c>
      <c r="B105" t="s">
        <v>353</v>
      </c>
      <c r="C105">
        <f>FIND("A","A")</f>
        <v>1</v>
      </c>
      <c r="D105">
        <v>1</v>
      </c>
      <c r="E105" s="49">
        <f t="shared" si="7"/>
        <v>1</v>
      </c>
      <c r="I105" s="8" t="s">
        <v>657</v>
      </c>
      <c r="J105" s="3"/>
      <c r="K105" s="3"/>
      <c r="L105" s="3"/>
      <c r="M105" s="3"/>
      <c r="O105" t="s">
        <v>607</v>
      </c>
      <c r="P105">
        <f>YIELD(39760,44256,0.05,0.05,1,1)</f>
        <v>4.7968461708061829</v>
      </c>
      <c r="Q105">
        <v>4.796846170806182</v>
      </c>
      <c r="R105" s="49">
        <f t="shared" si="8"/>
        <v>1</v>
      </c>
    </row>
    <row r="106" spans="1:18">
      <c r="A106">
        <v>125</v>
      </c>
      <c r="B106" t="s">
        <v>354</v>
      </c>
      <c r="C106" t="str">
        <f ca="1">CELL("address",A1)</f>
        <v>$A$1</v>
      </c>
      <c r="D106" t="s">
        <v>209</v>
      </c>
      <c r="E106" s="49">
        <f t="shared" ca="1" si="7"/>
        <v>1</v>
      </c>
      <c r="I106" s="4" t="s">
        <v>248</v>
      </c>
      <c r="J106" s="4" t="s">
        <v>249</v>
      </c>
      <c r="K106" s="4" t="s">
        <v>5</v>
      </c>
      <c r="L106" s="4" t="s">
        <v>6</v>
      </c>
      <c r="M106" s="4" t="s">
        <v>7</v>
      </c>
      <c r="O106" t="s">
        <v>608</v>
      </c>
      <c r="P106">
        <f>YIELDDISC(39760,44256,1,1)</f>
        <v>0</v>
      </c>
      <c r="Q106">
        <v>0</v>
      </c>
      <c r="R106" s="49">
        <f t="shared" si="8"/>
        <v>1</v>
      </c>
    </row>
    <row r="107" spans="1:18">
      <c r="A107">
        <v>126</v>
      </c>
      <c r="B107" t="s">
        <v>355</v>
      </c>
      <c r="C107" t="b">
        <f>ISERR($F$22)</f>
        <v>0</v>
      </c>
      <c r="D107" t="b">
        <v>0</v>
      </c>
      <c r="E107" s="49">
        <f t="shared" si="7"/>
        <v>1</v>
      </c>
      <c r="I107" s="15">
        <v>336</v>
      </c>
      <c r="J107" t="s">
        <v>479</v>
      </c>
      <c r="K107" t="str">
        <f>CONCATENATE("A")</f>
        <v>A</v>
      </c>
      <c r="L107" t="s">
        <v>283</v>
      </c>
      <c r="M107" s="49">
        <f t="shared" ref="M107:M119" si="14">IF(IF(AND(ISERROR(K107),ISERROR(L107)),ERROR.TYPE(K107)=ERROR.TYPE(L107),IF(AND(NOT(ISERROR(K107)),NOT(ISERROR(L107))),AND(ISBLANK(K107)=ISBLANK(L107),K107=L107))),1,"ERR!")</f>
        <v>1</v>
      </c>
      <c r="O107" t="s">
        <v>609</v>
      </c>
      <c r="P107">
        <f>YIELDMAT(39760,44256,0,0,1)</f>
        <v>8.0397022332506207</v>
      </c>
      <c r="Q107">
        <v>8.0397022332506207</v>
      </c>
      <c r="R107" s="49">
        <f t="shared" si="8"/>
        <v>1</v>
      </c>
    </row>
    <row r="108" spans="1:18">
      <c r="A108">
        <v>127</v>
      </c>
      <c r="B108" t="s">
        <v>356</v>
      </c>
      <c r="C108" t="b">
        <f>ISTEXT("A")</f>
        <v>1</v>
      </c>
      <c r="D108" t="b">
        <v>1</v>
      </c>
      <c r="E108" s="49">
        <f t="shared" si="7"/>
        <v>1</v>
      </c>
      <c r="I108">
        <v>337</v>
      </c>
      <c r="J108" t="s">
        <v>480</v>
      </c>
      <c r="K108">
        <f>POWER(1,1)</f>
        <v>1</v>
      </c>
      <c r="L108">
        <v>1</v>
      </c>
      <c r="M108" s="49">
        <f t="shared" si="14"/>
        <v>1</v>
      </c>
    </row>
    <row r="109" spans="1:18" ht="15.75">
      <c r="A109">
        <v>128</v>
      </c>
      <c r="B109" t="s">
        <v>357</v>
      </c>
      <c r="C109" t="b">
        <f>ISNUMBER(1)</f>
        <v>1</v>
      </c>
      <c r="D109" t="b">
        <v>1</v>
      </c>
      <c r="E109" s="49">
        <f t="shared" si="7"/>
        <v>1</v>
      </c>
      <c r="I109">
        <v>342</v>
      </c>
      <c r="J109" t="s">
        <v>481</v>
      </c>
      <c r="K109">
        <f>RADIANS(0)</f>
        <v>0</v>
      </c>
      <c r="L109">
        <v>0</v>
      </c>
      <c r="M109" s="49">
        <f t="shared" si="14"/>
        <v>1</v>
      </c>
      <c r="O109" s="8" t="s">
        <v>755</v>
      </c>
      <c r="P109" s="3"/>
      <c r="Q109" s="3"/>
      <c r="R109" s="3"/>
    </row>
    <row r="110" spans="1:18">
      <c r="A110">
        <v>129</v>
      </c>
      <c r="B110" t="s">
        <v>358</v>
      </c>
      <c r="C110" t="b">
        <f>ISBLANK(1)</f>
        <v>0</v>
      </c>
      <c r="D110" t="b">
        <v>0</v>
      </c>
      <c r="E110" s="49">
        <f t="shared" si="7"/>
        <v>1</v>
      </c>
      <c r="I110">
        <v>343</v>
      </c>
      <c r="J110" t="s">
        <v>482</v>
      </c>
      <c r="K110">
        <f>DEGREES(0)</f>
        <v>0</v>
      </c>
      <c r="L110">
        <v>0</v>
      </c>
      <c r="M110" s="49">
        <f t="shared" si="14"/>
        <v>1</v>
      </c>
      <c r="O110" s="4" t="s">
        <v>249</v>
      </c>
      <c r="P110" s="4" t="s">
        <v>5</v>
      </c>
      <c r="Q110" s="4" t="s">
        <v>6</v>
      </c>
      <c r="R110" s="4" t="s">
        <v>7</v>
      </c>
    </row>
    <row r="111" spans="1:18">
      <c r="A111">
        <v>130</v>
      </c>
      <c r="B111" t="s">
        <v>359</v>
      </c>
      <c r="C111" t="str">
        <f>T("1")</f>
        <v>1</v>
      </c>
      <c r="D111" s="5" t="s">
        <v>266</v>
      </c>
      <c r="E111" s="49">
        <f t="shared" si="7"/>
        <v>1</v>
      </c>
      <c r="I111">
        <v>344</v>
      </c>
      <c r="J111" t="s">
        <v>483</v>
      </c>
      <c r="K111">
        <f>SUBTOTAL(1,$F$7:$F$8)</f>
        <v>1</v>
      </c>
      <c r="L111">
        <v>1</v>
      </c>
      <c r="M111" s="49">
        <f t="shared" si="14"/>
        <v>1</v>
      </c>
      <c r="O111" t="s">
        <v>503</v>
      </c>
      <c r="P111" t="str">
        <f>BAHTTEXT(0)</f>
        <v>ศูนย์บาทถ้วน</v>
      </c>
      <c r="Q111" t="s">
        <v>504</v>
      </c>
      <c r="R111" s="49">
        <f t="shared" ref="R111:R122" si="15">IF(IF(AND(ISERROR(P111),ISERROR(Q111)),ERROR.TYPE(P111)=ERROR.TYPE(Q111),IF(AND(NOT(ISERROR(P111)),NOT(ISERROR(Q111))),AND(ISBLANK(P111)=ISBLANK(Q111),P111=Q111))),1,"ERR!")</f>
        <v>1</v>
      </c>
    </row>
    <row r="112" spans="1:18">
      <c r="A112">
        <v>131</v>
      </c>
      <c r="B112" t="s">
        <v>360</v>
      </c>
      <c r="C112">
        <f>N(1)</f>
        <v>1</v>
      </c>
      <c r="D112">
        <v>1</v>
      </c>
      <c r="E112" s="49">
        <f t="shared" si="7"/>
        <v>1</v>
      </c>
      <c r="I112">
        <v>345</v>
      </c>
      <c r="J112" t="s">
        <v>484</v>
      </c>
      <c r="K112">
        <f>SUMIF($F$7:$F$8,1)</f>
        <v>2</v>
      </c>
      <c r="L112">
        <v>2</v>
      </c>
      <c r="M112" s="49">
        <f t="shared" si="14"/>
        <v>1</v>
      </c>
      <c r="O112" t="s">
        <v>505</v>
      </c>
      <c r="P112" t="e">
        <f>THAIDAYOFWEEK(1)</f>
        <v>#VALUE!</v>
      </c>
      <c r="Q112" t="e">
        <v>#VALUE!</v>
      </c>
      <c r="R112" s="49">
        <f t="shared" si="15"/>
        <v>1</v>
      </c>
    </row>
    <row r="113" spans="1:18">
      <c r="A113">
        <v>140</v>
      </c>
      <c r="B113" t="s">
        <v>361</v>
      </c>
      <c r="C113">
        <f>DATEVALUE("1977-04-24")</f>
        <v>28239</v>
      </c>
      <c r="D113">
        <v>28239</v>
      </c>
      <c r="E113" s="49">
        <f t="shared" si="7"/>
        <v>1</v>
      </c>
      <c r="I113">
        <v>346</v>
      </c>
      <c r="J113" t="s">
        <v>485</v>
      </c>
      <c r="K113">
        <f>COUNTIF($F$7:$F$8,1)</f>
        <v>2</v>
      </c>
      <c r="L113">
        <v>2</v>
      </c>
      <c r="M113" s="49">
        <f t="shared" si="14"/>
        <v>1</v>
      </c>
      <c r="O113" t="s">
        <v>506</v>
      </c>
      <c r="P113" t="e">
        <f>THAIDIGIT(1)</f>
        <v>#VALUE!</v>
      </c>
      <c r="Q113" t="e">
        <v>#VALUE!</v>
      </c>
      <c r="R113" s="49">
        <f t="shared" si="15"/>
        <v>1</v>
      </c>
    </row>
    <row r="114" spans="1:18">
      <c r="A114">
        <v>141</v>
      </c>
      <c r="B114" t="s">
        <v>362</v>
      </c>
      <c r="C114">
        <f>TIMEVALUE("01:30:00")</f>
        <v>6.25E-2</v>
      </c>
      <c r="D114">
        <v>6.25E-2</v>
      </c>
      <c r="E114" s="49">
        <f t="shared" si="7"/>
        <v>1</v>
      </c>
      <c r="I114">
        <v>347</v>
      </c>
      <c r="J114" t="s">
        <v>486</v>
      </c>
      <c r="K114">
        <f>COUNTBLANK($F$7:$F$8)</f>
        <v>0</v>
      </c>
      <c r="L114">
        <v>0</v>
      </c>
      <c r="M114" s="49">
        <f t="shared" si="14"/>
        <v>1</v>
      </c>
      <c r="O114" t="s">
        <v>507</v>
      </c>
      <c r="P114" t="e">
        <f>THAIMONTHOFYEAR(1)</f>
        <v>#VALUE!</v>
      </c>
      <c r="Q114" t="e">
        <v>#VALUE!</v>
      </c>
      <c r="R114" s="49">
        <f t="shared" si="15"/>
        <v>1</v>
      </c>
    </row>
    <row r="115" spans="1:18">
      <c r="A115">
        <v>142</v>
      </c>
      <c r="B115" t="s">
        <v>363</v>
      </c>
      <c r="C115" s="11">
        <f>SLN(2,1,1)</f>
        <v>1</v>
      </c>
      <c r="D115">
        <v>1</v>
      </c>
      <c r="E115" s="49">
        <f t="shared" si="7"/>
        <v>1</v>
      </c>
      <c r="I115">
        <v>350</v>
      </c>
      <c r="J115" t="s">
        <v>487</v>
      </c>
      <c r="K115">
        <f>ISPMT(1,1,1,1)</f>
        <v>0</v>
      </c>
      <c r="L115">
        <v>0</v>
      </c>
      <c r="M115" s="49">
        <f t="shared" si="14"/>
        <v>1</v>
      </c>
      <c r="O115" t="s">
        <v>508</v>
      </c>
      <c r="P115" t="e">
        <f>THAINUMSOUND(1)</f>
        <v>#VALUE!</v>
      </c>
      <c r="Q115" t="e">
        <v>#VALUE!</v>
      </c>
      <c r="R115" s="49">
        <f t="shared" si="15"/>
        <v>1</v>
      </c>
    </row>
    <row r="116" spans="1:18">
      <c r="A116">
        <v>143</v>
      </c>
      <c r="B116" t="s">
        <v>364</v>
      </c>
      <c r="C116" s="11">
        <f>SYD(2,1,1,1)</f>
        <v>1</v>
      </c>
      <c r="D116">
        <v>1</v>
      </c>
      <c r="E116" s="49">
        <f t="shared" si="7"/>
        <v>1</v>
      </c>
      <c r="I116">
        <v>351</v>
      </c>
      <c r="J116" t="s">
        <v>488</v>
      </c>
      <c r="K116">
        <f>DATEDIF(1,1,"y")</f>
        <v>0</v>
      </c>
      <c r="L116">
        <v>0</v>
      </c>
      <c r="M116" s="49">
        <f t="shared" si="14"/>
        <v>1</v>
      </c>
      <c r="O116" t="s">
        <v>509</v>
      </c>
      <c r="P116" t="e">
        <f>THAINUMSTRING(1)</f>
        <v>#VALUE!</v>
      </c>
      <c r="Q116" t="e">
        <v>#VALUE!</v>
      </c>
      <c r="R116" s="49">
        <f t="shared" si="15"/>
        <v>1</v>
      </c>
    </row>
    <row r="117" spans="1:18">
      <c r="A117">
        <v>144</v>
      </c>
      <c r="B117" t="s">
        <v>365</v>
      </c>
      <c r="C117" s="11">
        <f>DDB(2,1,1,1)</f>
        <v>1</v>
      </c>
      <c r="D117">
        <v>1</v>
      </c>
      <c r="E117" s="49">
        <f t="shared" si="7"/>
        <v>1</v>
      </c>
      <c r="I117">
        <v>352</v>
      </c>
      <c r="J117" t="s">
        <v>489</v>
      </c>
      <c r="K117" t="e">
        <f>DATESTRING(1)</f>
        <v>#N/A</v>
      </c>
      <c r="L117" t="e">
        <v>#N/A</v>
      </c>
      <c r="M117" s="49">
        <f t="shared" si="14"/>
        <v>1</v>
      </c>
      <c r="O117" t="s">
        <v>510</v>
      </c>
      <c r="P117" t="e">
        <f>THAISTRINGLENGTH("A")</f>
        <v>#VALUE!</v>
      </c>
      <c r="Q117" t="e">
        <v>#VALUE!</v>
      </c>
      <c r="R117" s="49">
        <f t="shared" si="15"/>
        <v>1</v>
      </c>
    </row>
    <row r="118" spans="1:18">
      <c r="A118">
        <v>148</v>
      </c>
      <c r="B118" t="s">
        <v>366</v>
      </c>
      <c r="C118">
        <f ca="1">INDIRECT("$F$7")</f>
        <v>1</v>
      </c>
      <c r="D118">
        <v>1</v>
      </c>
      <c r="E118" s="49">
        <f t="shared" ca="1" si="7"/>
        <v>1</v>
      </c>
      <c r="I118">
        <v>353</v>
      </c>
      <c r="J118" t="s">
        <v>490</v>
      </c>
      <c r="K118" t="e">
        <f>NUMBERSTRING(1,1)</f>
        <v>#N/A</v>
      </c>
      <c r="L118" t="e">
        <v>#N/A</v>
      </c>
      <c r="M118" s="49">
        <f t="shared" si="14"/>
        <v>1</v>
      </c>
      <c r="O118" t="s">
        <v>511</v>
      </c>
      <c r="P118" t="e">
        <f>ISTHAIDIGIT("A")</f>
        <v>#VALUE!</v>
      </c>
      <c r="Q118" t="e">
        <v>#VALUE!</v>
      </c>
      <c r="R118" s="49">
        <f t="shared" si="15"/>
        <v>1</v>
      </c>
    </row>
    <row r="119" spans="1:18">
      <c r="A119">
        <v>162</v>
      </c>
      <c r="B119" t="s">
        <v>367</v>
      </c>
      <c r="C119" t="str">
        <f>CLEAN("A")</f>
        <v>A</v>
      </c>
      <c r="D119" t="s">
        <v>283</v>
      </c>
      <c r="E119" s="49">
        <f t="shared" si="7"/>
        <v>1</v>
      </c>
      <c r="I119">
        <v>354</v>
      </c>
      <c r="J119" t="s">
        <v>491</v>
      </c>
      <c r="K119" t="str">
        <f>ROMAN(2000)</f>
        <v>MM</v>
      </c>
      <c r="L119" t="s">
        <v>492</v>
      </c>
      <c r="M119" s="49">
        <f t="shared" si="14"/>
        <v>1</v>
      </c>
      <c r="O119" t="s">
        <v>512</v>
      </c>
      <c r="P119" t="e">
        <f>ROUNDBAHTDOWN(1)</f>
        <v>#VALUE!</v>
      </c>
      <c r="Q119" t="e">
        <v>#VALUE!</v>
      </c>
      <c r="R119" s="49">
        <f t="shared" si="15"/>
        <v>1</v>
      </c>
    </row>
    <row r="120" spans="1:18">
      <c r="A120">
        <v>163</v>
      </c>
      <c r="B120" t="s">
        <v>368</v>
      </c>
      <c r="C120">
        <f>MDETERM(1)</f>
        <v>1</v>
      </c>
      <c r="D120">
        <v>1</v>
      </c>
      <c r="E120" s="49">
        <f t="shared" si="7"/>
        <v>1</v>
      </c>
      <c r="O120" t="s">
        <v>513</v>
      </c>
      <c r="P120" t="e">
        <f>ROUNDBAHTUP(1)</f>
        <v>#VALUE!</v>
      </c>
      <c r="Q120" t="e">
        <v>#VALUE!</v>
      </c>
      <c r="R120" s="49">
        <f t="shared" si="15"/>
        <v>1</v>
      </c>
    </row>
    <row r="121" spans="1:18" ht="15.75">
      <c r="A121">
        <v>164</v>
      </c>
      <c r="B121" t="s">
        <v>369</v>
      </c>
      <c r="C121">
        <f>MINVERSE(1)</f>
        <v>1</v>
      </c>
      <c r="D121">
        <v>1</v>
      </c>
      <c r="E121" s="49">
        <f t="shared" si="7"/>
        <v>1</v>
      </c>
      <c r="I121" s="8" t="s">
        <v>658</v>
      </c>
      <c r="J121" s="3"/>
      <c r="K121" s="3"/>
      <c r="L121" s="3"/>
      <c r="M121" s="3"/>
      <c r="O121" t="s">
        <v>514</v>
      </c>
      <c r="P121" t="e">
        <f>THAIYEAR(1)</f>
        <v>#VALUE!</v>
      </c>
      <c r="Q121" t="e">
        <v>#VALUE!</v>
      </c>
      <c r="R121" s="49">
        <f t="shared" si="15"/>
        <v>1</v>
      </c>
    </row>
    <row r="122" spans="1:18">
      <c r="A122">
        <v>165</v>
      </c>
      <c r="B122" t="s">
        <v>370</v>
      </c>
      <c r="C122">
        <f>MMULT(1,1)</f>
        <v>1</v>
      </c>
      <c r="D122">
        <v>1</v>
      </c>
      <c r="E122" s="49">
        <f t="shared" si="7"/>
        <v>1</v>
      </c>
      <c r="I122" s="4" t="s">
        <v>248</v>
      </c>
      <c r="J122" s="4" t="s">
        <v>249</v>
      </c>
      <c r="K122" s="4" t="s">
        <v>5</v>
      </c>
      <c r="L122" s="4" t="s">
        <v>6</v>
      </c>
      <c r="M122" s="4" t="s">
        <v>7</v>
      </c>
      <c r="O122" t="s">
        <v>515</v>
      </c>
      <c r="P122" t="e">
        <f>RTD(0,"","")</f>
        <v>#N/A</v>
      </c>
      <c r="Q122" t="e">
        <v>#N/A</v>
      </c>
      <c r="R122" s="49">
        <f t="shared" si="15"/>
        <v>1</v>
      </c>
    </row>
    <row r="123" spans="1:18">
      <c r="A123">
        <v>167</v>
      </c>
      <c r="B123" t="s">
        <v>371</v>
      </c>
      <c r="C123" s="11">
        <f>IPMT(1,1,1,1)</f>
        <v>-1</v>
      </c>
      <c r="D123">
        <v>-1</v>
      </c>
      <c r="E123" s="49">
        <f t="shared" si="7"/>
        <v>1</v>
      </c>
      <c r="I123" s="15">
        <v>358</v>
      </c>
      <c r="J123" t="s">
        <v>493</v>
      </c>
      <c r="K123" t="e">
        <f>GETPIVOTDATA("A","A")</f>
        <v>#REF!</v>
      </c>
      <c r="L123" t="e">
        <v>#REF!</v>
      </c>
      <c r="M123" s="49">
        <f t="shared" ref="M123:M132" si="16">IF(IF(AND(ISERROR(K123),ISERROR(L123)),ERROR.TYPE(K123)=ERROR.TYPE(L123),IF(AND(NOT(ISERROR(K123)),NOT(ISERROR(L123))),AND(ISBLANK(K123)=ISBLANK(L123),K123=L123))),1,"ERR!")</f>
        <v>1</v>
      </c>
    </row>
    <row r="124" spans="1:18" ht="15.75">
      <c r="A124">
        <v>168</v>
      </c>
      <c r="B124" t="s">
        <v>372</v>
      </c>
      <c r="C124" s="11">
        <f>PPMT(1,1,1,1)</f>
        <v>-1</v>
      </c>
      <c r="D124">
        <v>-1</v>
      </c>
      <c r="E124" s="49">
        <f t="shared" si="7"/>
        <v>1</v>
      </c>
      <c r="I124">
        <v>359</v>
      </c>
      <c r="J124" t="s">
        <v>494</v>
      </c>
      <c r="K124" s="16" t="str">
        <f>HYPERLINK("#A1")</f>
        <v>#A1</v>
      </c>
      <c r="L124" t="s">
        <v>636</v>
      </c>
      <c r="M124" s="49">
        <f t="shared" si="16"/>
        <v>1</v>
      </c>
      <c r="O124" s="8" t="s">
        <v>753</v>
      </c>
      <c r="P124" s="3"/>
      <c r="Q124" s="3"/>
      <c r="R124" s="3"/>
    </row>
    <row r="125" spans="1:18">
      <c r="A125">
        <v>169</v>
      </c>
      <c r="B125" t="s">
        <v>373</v>
      </c>
      <c r="C125">
        <f>COUNTA(1)</f>
        <v>1</v>
      </c>
      <c r="D125">
        <v>1</v>
      </c>
      <c r="E125" s="49">
        <f t="shared" si="7"/>
        <v>1</v>
      </c>
      <c r="I125">
        <v>360</v>
      </c>
      <c r="J125" t="s">
        <v>495</v>
      </c>
      <c r="K125" t="e">
        <f>PHONETIC($G$7)</f>
        <v>#N/A</v>
      </c>
      <c r="L125" t="e">
        <v>#N/A</v>
      </c>
      <c r="M125" s="49">
        <f t="shared" si="16"/>
        <v>1</v>
      </c>
      <c r="O125" s="4" t="s">
        <v>249</v>
      </c>
      <c r="P125" s="4" t="s">
        <v>5</v>
      </c>
      <c r="Q125" s="4" t="s">
        <v>6</v>
      </c>
      <c r="R125" s="4" t="s">
        <v>7</v>
      </c>
    </row>
    <row r="126" spans="1:18">
      <c r="A126">
        <v>183</v>
      </c>
      <c r="B126" t="s">
        <v>374</v>
      </c>
      <c r="C126">
        <f>PRODUCT(1)</f>
        <v>1</v>
      </c>
      <c r="D126">
        <v>1</v>
      </c>
      <c r="E126" s="49">
        <f t="shared" si="7"/>
        <v>1</v>
      </c>
      <c r="I126">
        <v>361</v>
      </c>
      <c r="J126" t="s">
        <v>496</v>
      </c>
      <c r="K126">
        <f>AVERAGEA(1)</f>
        <v>1</v>
      </c>
      <c r="L126">
        <v>1</v>
      </c>
      <c r="M126" s="49">
        <f t="shared" si="16"/>
        <v>1</v>
      </c>
      <c r="O126" t="s">
        <v>754</v>
      </c>
      <c r="P126">
        <f>[1]!euroconvert(100,"EUR","DEM")</f>
        <v>195.58</v>
      </c>
      <c r="Q126">
        <v>195.58</v>
      </c>
      <c r="R126" s="49">
        <f t="shared" ref="R126" si="17">IF(IF(AND(ISERROR(P126),ISERROR(Q126)),ERROR.TYPE(P126)=ERROR.TYPE(Q126),IF(AND(NOT(ISERROR(P126)),NOT(ISERROR(Q126))),AND(ISBLANK(P126)=ISBLANK(Q126),P126=Q126))),1,"ERR!")</f>
        <v>1</v>
      </c>
    </row>
    <row r="127" spans="1:18">
      <c r="A127">
        <v>184</v>
      </c>
      <c r="B127" t="s">
        <v>375</v>
      </c>
      <c r="C127">
        <f>FACT(1)</f>
        <v>1</v>
      </c>
      <c r="D127">
        <v>1</v>
      </c>
      <c r="E127" s="49">
        <f t="shared" si="7"/>
        <v>1</v>
      </c>
      <c r="I127">
        <v>362</v>
      </c>
      <c r="J127" t="s">
        <v>497</v>
      </c>
      <c r="K127">
        <f>MAXA(1)</f>
        <v>1</v>
      </c>
      <c r="L127">
        <v>1</v>
      </c>
      <c r="M127" s="49">
        <f t="shared" si="16"/>
        <v>1</v>
      </c>
    </row>
    <row r="128" spans="1:18">
      <c r="A128">
        <v>189</v>
      </c>
      <c r="B128" t="s">
        <v>376</v>
      </c>
      <c r="C128">
        <f>DPRODUCT($F$7:$G$8,1,$F$7:$F$8)</f>
        <v>1</v>
      </c>
      <c r="D128">
        <v>1</v>
      </c>
      <c r="E128" s="49">
        <f t="shared" si="7"/>
        <v>1</v>
      </c>
      <c r="I128">
        <v>363</v>
      </c>
      <c r="J128" t="s">
        <v>498</v>
      </c>
      <c r="K128">
        <f>MINA(1)</f>
        <v>1</v>
      </c>
      <c r="L128">
        <v>1</v>
      </c>
      <c r="M128" s="49">
        <f t="shared" si="16"/>
        <v>1</v>
      </c>
    </row>
    <row r="129" spans="1:13">
      <c r="A129">
        <v>190</v>
      </c>
      <c r="B129" t="s">
        <v>377</v>
      </c>
      <c r="C129" t="b">
        <f>ISNONTEXT(1)</f>
        <v>1</v>
      </c>
      <c r="D129" t="b">
        <v>1</v>
      </c>
      <c r="E129" s="49">
        <f t="shared" si="7"/>
        <v>1</v>
      </c>
      <c r="I129">
        <v>364</v>
      </c>
      <c r="J129" t="s">
        <v>499</v>
      </c>
      <c r="K129">
        <f>STDEVPA(1,1)</f>
        <v>0</v>
      </c>
      <c r="L129">
        <v>0</v>
      </c>
      <c r="M129" s="49">
        <f t="shared" si="16"/>
        <v>1</v>
      </c>
    </row>
    <row r="130" spans="1:13">
      <c r="A130">
        <v>193</v>
      </c>
      <c r="B130" t="s">
        <v>378</v>
      </c>
      <c r="C130">
        <f>STDEVP(1,1)</f>
        <v>0</v>
      </c>
      <c r="D130">
        <v>0</v>
      </c>
      <c r="E130" s="49">
        <f t="shared" si="7"/>
        <v>1</v>
      </c>
      <c r="I130">
        <v>365</v>
      </c>
      <c r="J130" t="s">
        <v>500</v>
      </c>
      <c r="K130">
        <f>VARPA(1)</f>
        <v>0</v>
      </c>
      <c r="L130">
        <v>0</v>
      </c>
      <c r="M130" s="49">
        <f t="shared" si="16"/>
        <v>1</v>
      </c>
    </row>
    <row r="131" spans="1:13">
      <c r="A131">
        <v>194</v>
      </c>
      <c r="B131" t="s">
        <v>379</v>
      </c>
      <c r="C131">
        <f>VARP(1,1)</f>
        <v>0</v>
      </c>
      <c r="D131">
        <v>0</v>
      </c>
      <c r="E131" s="49">
        <f t="shared" si="7"/>
        <v>1</v>
      </c>
      <c r="I131">
        <v>366</v>
      </c>
      <c r="J131" t="s">
        <v>501</v>
      </c>
      <c r="K131">
        <f>STDEVA(1,1)</f>
        <v>0</v>
      </c>
      <c r="L131">
        <v>0</v>
      </c>
      <c r="M131" s="49">
        <f t="shared" si="16"/>
        <v>1</v>
      </c>
    </row>
    <row r="132" spans="1:13">
      <c r="A132">
        <v>195</v>
      </c>
      <c r="B132" t="s">
        <v>380</v>
      </c>
      <c r="C132">
        <f>DSTDEVP($F$7:$G$9,1,$F$7:$F$9)</f>
        <v>0</v>
      </c>
      <c r="D132">
        <v>0</v>
      </c>
      <c r="E132" s="49">
        <f t="shared" si="7"/>
        <v>1</v>
      </c>
      <c r="I132">
        <v>367</v>
      </c>
      <c r="J132" t="s">
        <v>502</v>
      </c>
      <c r="K132">
        <f>VARA(1,1)</f>
        <v>0</v>
      </c>
      <c r="L132">
        <v>0</v>
      </c>
      <c r="M132" s="49">
        <f t="shared" si="16"/>
        <v>1</v>
      </c>
    </row>
    <row r="133" spans="1:13">
      <c r="A133">
        <v>196</v>
      </c>
      <c r="B133" t="s">
        <v>381</v>
      </c>
      <c r="C133">
        <f>DVARP($F$7:$G$9,1,$F$7:$F$9)</f>
        <v>0</v>
      </c>
      <c r="D133">
        <v>0</v>
      </c>
      <c r="E133" s="49">
        <f t="shared" si="7"/>
        <v>1</v>
      </c>
      <c r="I133" s="17"/>
    </row>
    <row r="134" spans="1:13">
      <c r="A134">
        <v>197</v>
      </c>
      <c r="B134" t="s">
        <v>382</v>
      </c>
      <c r="C134">
        <f>TRUNC(1.1)</f>
        <v>1</v>
      </c>
      <c r="D134">
        <v>1</v>
      </c>
      <c r="E134" s="49">
        <f t="shared" si="7"/>
        <v>1</v>
      </c>
      <c r="I134" s="17"/>
    </row>
    <row r="135" spans="1:13">
      <c r="A135">
        <v>198</v>
      </c>
      <c r="B135" t="s">
        <v>383</v>
      </c>
      <c r="C135" t="b">
        <f>ISLOGICAL(TRUE())</f>
        <v>1</v>
      </c>
      <c r="D135" t="b">
        <v>1</v>
      </c>
      <c r="E135" s="49">
        <f t="shared" ref="E135:E136" si="18">IF(IF(AND(ISERROR(C135),ISERROR(D135)),ERROR.TYPE(C135)=ERROR.TYPE(D135),IF(AND(NOT(ISERROR(C135)),NOT(ISERROR(D135))),AND(ISBLANK(C135)=ISBLANK(D135),C135=D135))),1,"ERR!")</f>
        <v>1</v>
      </c>
      <c r="I135" s="17"/>
    </row>
    <row r="136" spans="1:13">
      <c r="A136">
        <v>199</v>
      </c>
      <c r="B136" t="s">
        <v>384</v>
      </c>
      <c r="C136">
        <f>DCOUNTA($F$7:$G$8,1,$F$7:$F$8)</f>
        <v>1</v>
      </c>
      <c r="D136">
        <v>1</v>
      </c>
      <c r="E136" s="49">
        <f t="shared" si="18"/>
        <v>1</v>
      </c>
      <c r="I136" s="17"/>
    </row>
    <row r="137" spans="1:13">
      <c r="I137" s="17"/>
    </row>
    <row r="138" spans="1:13">
      <c r="I138" s="17"/>
    </row>
    <row r="139" spans="1:13">
      <c r="I139" s="17"/>
    </row>
    <row r="140" spans="1:13">
      <c r="I140" s="17"/>
    </row>
    <row r="141" spans="1:13">
      <c r="I141" s="17"/>
    </row>
    <row r="142" spans="1:13">
      <c r="I142" s="17"/>
    </row>
    <row r="143" spans="1:13">
      <c r="I143" s="17"/>
    </row>
    <row r="144" spans="1:13">
      <c r="I144" s="17"/>
    </row>
    <row r="145" spans="9:9">
      <c r="I145" s="17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28"/>
  <sheetViews>
    <sheetView workbookViewId="0"/>
  </sheetViews>
  <sheetFormatPr defaultRowHeight="15"/>
  <cols>
    <col min="1" max="1" width="45.7109375" customWidth="1"/>
    <col min="2" max="9" width="5.7109375" customWidth="1"/>
  </cols>
  <sheetData>
    <row r="1" spans="1:9" ht="22.5">
      <c r="A1" s="1" t="s">
        <v>0</v>
      </c>
      <c r="B1" s="1"/>
      <c r="C1" s="1"/>
      <c r="D1" s="1"/>
      <c r="E1" s="1"/>
      <c r="F1" s="1"/>
      <c r="G1" s="1"/>
      <c r="H1" s="1"/>
      <c r="I1" s="1"/>
    </row>
    <row r="3" spans="1:9" ht="18">
      <c r="A3" s="2" t="s">
        <v>661</v>
      </c>
      <c r="B3" s="2"/>
      <c r="C3" s="2"/>
      <c r="D3" s="2"/>
      <c r="E3" s="2"/>
      <c r="F3" s="2"/>
      <c r="G3" s="2"/>
      <c r="H3" s="2"/>
      <c r="I3" s="2"/>
    </row>
    <row r="5" spans="1:9" ht="15.75">
      <c r="A5" s="8" t="s">
        <v>662</v>
      </c>
      <c r="B5" s="3"/>
      <c r="C5" s="3"/>
      <c r="D5" s="3"/>
      <c r="E5" s="3"/>
      <c r="F5" s="3"/>
      <c r="G5" s="3"/>
      <c r="H5" s="3"/>
      <c r="I5" s="3"/>
    </row>
    <row r="6" spans="1:9">
      <c r="A6" s="4" t="s">
        <v>4</v>
      </c>
      <c r="B6" s="4" t="s">
        <v>5</v>
      </c>
      <c r="C6" s="4"/>
      <c r="D6" s="4" t="s">
        <v>6</v>
      </c>
      <c r="E6" s="4"/>
      <c r="F6" s="4" t="s">
        <v>7</v>
      </c>
      <c r="G6" s="4"/>
      <c r="H6" s="4" t="s">
        <v>637</v>
      </c>
      <c r="I6" s="4"/>
    </row>
    <row r="7" spans="1:9">
      <c r="A7" t="s">
        <v>628</v>
      </c>
      <c r="B7" s="19">
        <f t="array" ref="B7:C8">1</f>
        <v>1</v>
      </c>
      <c r="C7" s="21">
        <v>1</v>
      </c>
      <c r="D7" s="19">
        <v>1</v>
      </c>
      <c r="E7" s="21">
        <v>1</v>
      </c>
      <c r="F7" s="50">
        <f>IF(IF(AND(ISERROR(B7),ISERROR(D7)),ERROR.TYPE(B7)=ERROR.TYPE(D7),IF(AND(NOT(ISERROR(B7)),NOT(ISERROR(D7))),AND(ISBLANK(B7)=ISBLANK(D7),B7=D7))),1+0,"ERR!")</f>
        <v>1</v>
      </c>
      <c r="G7" s="51">
        <f>IF(IF(AND(ISERROR(C7),ISERROR(E7)),ERROR.TYPE(C7)=ERROR.TYPE(E7),IF(AND(NOT(ISERROR(C7)),NOT(ISERROR(E7))),AND(ISBLANK(C7)=ISBLANK(E7),C7=E7))),0+1,"ERR!")</f>
        <v>1</v>
      </c>
    </row>
    <row r="8" spans="1:9">
      <c r="B8" s="25">
        <v>1</v>
      </c>
      <c r="C8" s="27">
        <v>1</v>
      </c>
      <c r="D8" s="25">
        <v>1</v>
      </c>
      <c r="E8" s="27">
        <v>1</v>
      </c>
      <c r="F8" s="52">
        <f>IF(IF(AND(ISERROR(B8),ISERROR(D8)),ERROR.TYPE(B8)=ERROR.TYPE(D8),IF(AND(NOT(ISERROR(B8)),NOT(ISERROR(D8))),AND(ISBLANK(B8)=ISBLANK(D8),B8=D8))),0+1,"ERR!")</f>
        <v>1</v>
      </c>
      <c r="G8" s="53">
        <f>IF(IF(AND(ISERROR(C8),ISERROR(E8)),ERROR.TYPE(C8)=ERROR.TYPE(E8),IF(AND(NOT(ISERROR(C8)),NOT(ISERROR(E8))),AND(ISBLANK(C8)=ISBLANK(E8),C8=E8))),1+0,"ERR!")</f>
        <v>1</v>
      </c>
    </row>
    <row r="9" spans="1:9">
      <c r="A9" t="s">
        <v>629</v>
      </c>
      <c r="B9" s="19">
        <f t="array" ref="B9:C10">H9:I10</f>
        <v>1</v>
      </c>
      <c r="C9" s="21">
        <v>2</v>
      </c>
      <c r="D9" s="19">
        <v>1</v>
      </c>
      <c r="E9" s="21">
        <v>2</v>
      </c>
      <c r="F9" s="50">
        <f>IF(IF(AND(ISERROR(B9),ISERROR(D9)),ERROR.TYPE(B9)=ERROR.TYPE(D9),IF(AND(NOT(ISERROR(B9)),NOT(ISERROR(D9))),AND(ISBLANK(B9)=ISBLANK(D9),B9=D9))),1+0,"ERR!")</f>
        <v>1</v>
      </c>
      <c r="G9" s="51">
        <f>IF(IF(AND(ISERROR(C9),ISERROR(E9)),ERROR.TYPE(C9)=ERROR.TYPE(E9),IF(AND(NOT(ISERROR(C9)),NOT(ISERROR(E9))),AND(ISBLANK(C9)=ISBLANK(E9),C9=E9))),0+1,"ERR!")</f>
        <v>1</v>
      </c>
      <c r="H9">
        <v>1</v>
      </c>
      <c r="I9">
        <v>2</v>
      </c>
    </row>
    <row r="10" spans="1:9">
      <c r="B10" s="25">
        <v>3</v>
      </c>
      <c r="C10" s="27">
        <v>4</v>
      </c>
      <c r="D10" s="25">
        <v>3</v>
      </c>
      <c r="E10" s="27">
        <v>4</v>
      </c>
      <c r="F10" s="52">
        <f>IF(IF(AND(ISERROR(B10),ISERROR(D10)),ERROR.TYPE(B10)=ERROR.TYPE(D10),IF(AND(NOT(ISERROR(B10)),NOT(ISERROR(D10))),AND(ISBLANK(B10)=ISBLANK(D10),B10=D10))),0+1,"ERR!")</f>
        <v>1</v>
      </c>
      <c r="G10" s="53">
        <f>IF(IF(AND(ISERROR(C10),ISERROR(E10)),ERROR.TYPE(C10)=ERROR.TYPE(E10),IF(AND(NOT(ISERROR(C10)),NOT(ISERROR(E10))),AND(ISBLANK(C10)=ISBLANK(E10),C10=E10))),1+0,"ERR!")</f>
        <v>1</v>
      </c>
      <c r="H10">
        <v>3</v>
      </c>
      <c r="I10">
        <v>4</v>
      </c>
    </row>
    <row r="11" spans="1:9">
      <c r="A11" t="s">
        <v>630</v>
      </c>
      <c r="B11" s="19">
        <f t="array" ref="B11:C12">$H$9:$I$10</f>
        <v>1</v>
      </c>
      <c r="C11" s="21">
        <v>2</v>
      </c>
      <c r="D11" s="19">
        <v>1</v>
      </c>
      <c r="E11" s="21">
        <v>2</v>
      </c>
      <c r="F11" s="50">
        <f>IF(IF(AND(ISERROR(B11),ISERROR(D11)),ERROR.TYPE(B11)=ERROR.TYPE(D11),IF(AND(NOT(ISERROR(B11)),NOT(ISERROR(D11))),AND(ISBLANK(B11)=ISBLANK(D11),B11=D11))),1+0,"ERR!")</f>
        <v>1</v>
      </c>
      <c r="G11" s="51">
        <f>IF(IF(AND(ISERROR(C11),ISERROR(E11)),ERROR.TYPE(C11)=ERROR.TYPE(E11),IF(AND(NOT(ISERROR(C11)),NOT(ISERROR(E11))),AND(ISBLANK(C11)=ISBLANK(E11),C11=E11))),0+1,"ERR!")</f>
        <v>1</v>
      </c>
    </row>
    <row r="12" spans="1:9">
      <c r="B12" s="25">
        <v>3</v>
      </c>
      <c r="C12" s="27">
        <v>4</v>
      </c>
      <c r="D12" s="25">
        <v>3</v>
      </c>
      <c r="E12" s="27">
        <v>4</v>
      </c>
      <c r="F12" s="52">
        <f>IF(IF(AND(ISERROR(B12),ISERROR(D12)),ERROR.TYPE(B12)=ERROR.TYPE(D12),IF(AND(NOT(ISERROR(B12)),NOT(ISERROR(D12))),AND(ISBLANK(B12)=ISBLANK(D12),B12=D12))),0+1,"ERR!")</f>
        <v>1</v>
      </c>
      <c r="G12" s="53">
        <f>IF(IF(AND(ISERROR(C12),ISERROR(E12)),ERROR.TYPE(C12)=ERROR.TYPE(E12),IF(AND(NOT(ISERROR(C12)),NOT(ISERROR(E12))),AND(ISBLANK(C12)=ISBLANK(E12),C12=E12))),1+0,"ERR!")</f>
        <v>1</v>
      </c>
    </row>
    <row r="13" spans="1:9">
      <c r="A13" t="s">
        <v>631</v>
      </c>
      <c r="B13" s="19">
        <f t="array" ref="B13:C14">{1,2;3,4}</f>
        <v>1</v>
      </c>
      <c r="C13" s="21">
        <v>2</v>
      </c>
      <c r="D13" s="19">
        <v>1</v>
      </c>
      <c r="E13" s="21">
        <v>2</v>
      </c>
      <c r="F13" s="50">
        <f>IF(IF(AND(ISERROR(B13),ISERROR(D13)),ERROR.TYPE(B13)=ERROR.TYPE(D13),IF(AND(NOT(ISERROR(B13)),NOT(ISERROR(D13))),AND(ISBLANK(B13)=ISBLANK(D13),B13=D13))),1+0,"ERR!")</f>
        <v>1</v>
      </c>
      <c r="G13" s="51">
        <f>IF(IF(AND(ISERROR(C13),ISERROR(E13)),ERROR.TYPE(C13)=ERROR.TYPE(E13),IF(AND(NOT(ISERROR(C13)),NOT(ISERROR(E13))),AND(ISBLANK(C13)=ISBLANK(E13),C13=E13))),0+1,"ERR!")</f>
        <v>1</v>
      </c>
    </row>
    <row r="14" spans="1:9">
      <c r="B14" s="25">
        <v>3</v>
      </c>
      <c r="C14" s="27">
        <v>4</v>
      </c>
      <c r="D14" s="25">
        <v>3</v>
      </c>
      <c r="E14" s="27">
        <v>4</v>
      </c>
      <c r="F14" s="52">
        <f>IF(IF(AND(ISERROR(B14),ISERROR(D14)),ERROR.TYPE(B14)=ERROR.TYPE(D14),IF(AND(NOT(ISERROR(B14)),NOT(ISERROR(D14))),AND(ISBLANK(B14)=ISBLANK(D14),B14=D14))),0+1,"ERR!")</f>
        <v>1</v>
      </c>
      <c r="G14" s="53">
        <f>IF(IF(AND(ISERROR(C14),ISERROR(E14)),ERROR.TYPE(C14)=ERROR.TYPE(E14),IF(AND(NOT(ISERROR(C14)),NOT(ISERROR(E14))),AND(ISBLANK(C14)=ISBLANK(E14),C14=E14))),1+0,"ERR!")</f>
        <v>1</v>
      </c>
    </row>
    <row r="16" spans="1:9" ht="15.75">
      <c r="A16" s="8" t="s">
        <v>663</v>
      </c>
      <c r="B16" s="3"/>
      <c r="C16" s="3"/>
      <c r="D16" s="3"/>
      <c r="E16" s="3"/>
      <c r="F16" s="3"/>
      <c r="G16" s="3"/>
      <c r="H16" s="3"/>
      <c r="I16" s="3"/>
    </row>
    <row r="17" spans="1:9">
      <c r="A17" s="4" t="s">
        <v>4</v>
      </c>
      <c r="B17" s="4" t="s">
        <v>5</v>
      </c>
      <c r="C17" s="4"/>
      <c r="D17" s="4" t="s">
        <v>6</v>
      </c>
      <c r="E17" s="4"/>
      <c r="F17" s="4" t="s">
        <v>7</v>
      </c>
      <c r="G17" s="4"/>
      <c r="H17" s="4" t="s">
        <v>637</v>
      </c>
      <c r="I17" s="4"/>
    </row>
    <row r="18" spans="1:9">
      <c r="A18" t="s">
        <v>632</v>
      </c>
      <c r="B18" s="19">
        <f t="array" ref="B18:C19">MINVERSE(H18:I19)+H20:I21</f>
        <v>1</v>
      </c>
      <c r="C18" s="21">
        <v>2</v>
      </c>
      <c r="D18" s="19">
        <v>1</v>
      </c>
      <c r="E18" s="21">
        <v>2</v>
      </c>
      <c r="F18" s="50">
        <f>IF(IF(AND(ISERROR(B18),ISERROR(D18)),ERROR.TYPE(B18)=ERROR.TYPE(D18),IF(AND(NOT(ISERROR(B18)),NOT(ISERROR(D18))),AND(ISBLANK(B18)=ISBLANK(D18),B18=D18))),1+0,"ERR!")</f>
        <v>1</v>
      </c>
      <c r="G18" s="51">
        <f>IF(IF(AND(ISERROR(C18),ISERROR(E18)),ERROR.TYPE(C18)=ERROR.TYPE(E18),IF(AND(NOT(ISERROR(C18)),NOT(ISERROR(E18))),AND(ISBLANK(C18)=ISBLANK(E18),C18=E18))),0+1,"ERR!")</f>
        <v>1</v>
      </c>
      <c r="H18">
        <v>1</v>
      </c>
      <c r="I18">
        <v>0</v>
      </c>
    </row>
    <row r="19" spans="1:9">
      <c r="B19" s="25">
        <v>3</v>
      </c>
      <c r="C19" s="27">
        <v>4</v>
      </c>
      <c r="D19" s="25">
        <v>3</v>
      </c>
      <c r="E19" s="27">
        <v>4</v>
      </c>
      <c r="F19" s="52">
        <f>IF(IF(AND(ISERROR(B19),ISERROR(D19)),ERROR.TYPE(B19)=ERROR.TYPE(D19),IF(AND(NOT(ISERROR(B19)),NOT(ISERROR(D19))),AND(ISBLANK(B19)=ISBLANK(D19),B19=D19))),0+1,"ERR!")</f>
        <v>1</v>
      </c>
      <c r="G19" s="53">
        <f>IF(IF(AND(ISERROR(C19),ISERROR(E19)),ERROR.TYPE(C19)=ERROR.TYPE(E19),IF(AND(NOT(ISERROR(C19)),NOT(ISERROR(E19))),AND(ISBLANK(C19)=ISBLANK(E19),C19=E19))),1+0,"ERR!")</f>
        <v>1</v>
      </c>
      <c r="H19">
        <v>0</v>
      </c>
      <c r="I19">
        <v>1</v>
      </c>
    </row>
    <row r="20" spans="1:9">
      <c r="A20" t="s">
        <v>633</v>
      </c>
      <c r="B20" s="19">
        <f t="array" ref="B20:C21">MINVERSE($H$18:$I$19)+$H$20:$I$21</f>
        <v>1</v>
      </c>
      <c r="C20" s="21">
        <v>2</v>
      </c>
      <c r="D20" s="19">
        <v>1</v>
      </c>
      <c r="E20" s="21">
        <v>2</v>
      </c>
      <c r="F20" s="50">
        <f>IF(IF(AND(ISERROR(B20),ISERROR(D20)),ERROR.TYPE(B20)=ERROR.TYPE(D20),IF(AND(NOT(ISERROR(B20)),NOT(ISERROR(D20))),AND(ISBLANK(B20)=ISBLANK(D20),B20=D20))),1+0,"ERR!")</f>
        <v>1</v>
      </c>
      <c r="G20" s="51">
        <f>IF(IF(AND(ISERROR(C20),ISERROR(E20)),ERROR.TYPE(C20)=ERROR.TYPE(E20),IF(AND(NOT(ISERROR(C20)),NOT(ISERROR(E20))),AND(ISBLANK(C20)=ISBLANK(E20),C20=E20))),0+1,"ERR!")</f>
        <v>1</v>
      </c>
      <c r="H20">
        <v>0</v>
      </c>
      <c r="I20">
        <v>2</v>
      </c>
    </row>
    <row r="21" spans="1:9">
      <c r="B21" s="25">
        <v>3</v>
      </c>
      <c r="C21" s="27">
        <v>4</v>
      </c>
      <c r="D21" s="25">
        <v>3</v>
      </c>
      <c r="E21" s="27">
        <v>4</v>
      </c>
      <c r="F21" s="52">
        <f>IF(IF(AND(ISERROR(B21),ISERROR(D21)),ERROR.TYPE(B21)=ERROR.TYPE(D21),IF(AND(NOT(ISERROR(B21)),NOT(ISERROR(D21))),AND(ISBLANK(B21)=ISBLANK(D21),B21=D21))),0+1,"ERR!")</f>
        <v>1</v>
      </c>
      <c r="G21" s="53">
        <f>IF(IF(AND(ISERROR(C21),ISERROR(E21)),ERROR.TYPE(C21)=ERROR.TYPE(E21),IF(AND(NOT(ISERROR(C21)),NOT(ISERROR(E21))),AND(ISBLANK(C21)=ISBLANK(E21),C21=E21))),1+0,"ERR!")</f>
        <v>1</v>
      </c>
      <c r="H21">
        <v>3</v>
      </c>
      <c r="I21">
        <v>3</v>
      </c>
    </row>
    <row r="22" spans="1:9">
      <c r="A22" t="s">
        <v>634</v>
      </c>
      <c r="B22" s="19">
        <f t="array" ref="B22:C23">MINVERSE({1,0;0,1})+{0,2;3,3}</f>
        <v>1</v>
      </c>
      <c r="C22" s="21">
        <v>2</v>
      </c>
      <c r="D22" s="19">
        <v>1</v>
      </c>
      <c r="E22" s="21">
        <v>2</v>
      </c>
      <c r="F22" s="50">
        <f>IF(IF(AND(ISERROR(B22),ISERROR(D22)),ERROR.TYPE(B22)=ERROR.TYPE(D22),IF(AND(NOT(ISERROR(B22)),NOT(ISERROR(D22))),AND(ISBLANK(B22)=ISBLANK(D22),B22=D22))),1+0,"ERR!")</f>
        <v>1</v>
      </c>
      <c r="G22" s="51">
        <f>IF(IF(AND(ISERROR(C22),ISERROR(E22)),ERROR.TYPE(C22)=ERROR.TYPE(E22),IF(AND(NOT(ISERROR(C22)),NOT(ISERROR(E22))),AND(ISBLANK(C22)=ISBLANK(E22),C22=E22))),0+1,"ERR!")</f>
        <v>1</v>
      </c>
    </row>
    <row r="23" spans="1:9">
      <c r="B23" s="25">
        <v>3</v>
      </c>
      <c r="C23" s="27">
        <v>4</v>
      </c>
      <c r="D23" s="25">
        <v>3</v>
      </c>
      <c r="E23" s="27">
        <v>4</v>
      </c>
      <c r="F23" s="52">
        <f>IF(IF(AND(ISERROR(B23),ISERROR(D23)),ERROR.TYPE(B23)=ERROR.TYPE(D23),IF(AND(NOT(ISERROR(B23)),NOT(ISERROR(D23))),AND(ISBLANK(B23)=ISBLANK(D23),B23=D23))),0+1,"ERR!")</f>
        <v>1</v>
      </c>
      <c r="G23" s="53">
        <f>IF(IF(AND(ISERROR(C23),ISERROR(E23)),ERROR.TYPE(C23)=ERROR.TYPE(E23),IF(AND(NOT(ISERROR(C23)),NOT(ISERROR(E23))),AND(ISBLANK(C23)=ISBLANK(E23),C23=E23))),1+0,"ERR!")</f>
        <v>1</v>
      </c>
    </row>
    <row r="25" spans="1:9" ht="15.75">
      <c r="A25" s="3" t="s">
        <v>707</v>
      </c>
      <c r="B25" s="3"/>
      <c r="C25" s="3"/>
      <c r="D25" s="3"/>
      <c r="E25" s="3"/>
      <c r="F25" s="3"/>
      <c r="G25" s="3"/>
      <c r="H25" s="3"/>
      <c r="I25" s="3"/>
    </row>
    <row r="26" spans="1:9">
      <c r="A26" s="4" t="s">
        <v>4</v>
      </c>
      <c r="B26" s="4" t="s">
        <v>5</v>
      </c>
      <c r="C26" s="4"/>
      <c r="D26" s="4" t="s">
        <v>6</v>
      </c>
      <c r="E26" s="4"/>
      <c r="F26" s="4" t="s">
        <v>7</v>
      </c>
      <c r="G26" s="4"/>
      <c r="H26" s="4" t="s">
        <v>637</v>
      </c>
      <c r="I26" s="4"/>
    </row>
    <row r="27" spans="1:9">
      <c r="A27" t="s">
        <v>708</v>
      </c>
      <c r="B27" s="19">
        <f t="array" ref="B27:C28">{0,1;2,1}+MINVERSE(H27:I28 H27:I28)+{0,1;1,2}</f>
        <v>1</v>
      </c>
      <c r="C27" s="21">
        <v>2</v>
      </c>
      <c r="D27" s="19">
        <v>1</v>
      </c>
      <c r="E27" s="21">
        <v>2</v>
      </c>
      <c r="F27" s="50">
        <f>IF(IF(AND(ISERROR(B27),ISERROR(D27)),ERROR.TYPE(B27)=ERROR.TYPE(D27),IF(AND(NOT(ISERROR(B27)),NOT(ISERROR(D27))),AND(ISBLANK(B27)=ISBLANK(D27),B27=D27))),1+0,"ERR!")</f>
        <v>1</v>
      </c>
      <c r="G27" s="51">
        <f>IF(IF(AND(ISERROR(C27),ISERROR(E27)),ERROR.TYPE(C27)=ERROR.TYPE(E27),IF(AND(NOT(ISERROR(C27)),NOT(ISERROR(E27))),AND(ISBLANK(C27)=ISBLANK(E27),C27=E27))),0+1,"ERR!")</f>
        <v>1</v>
      </c>
      <c r="H27">
        <v>1</v>
      </c>
      <c r="I27">
        <v>0</v>
      </c>
    </row>
    <row r="28" spans="1:9">
      <c r="B28" s="25">
        <v>3</v>
      </c>
      <c r="C28" s="27">
        <v>4</v>
      </c>
      <c r="D28" s="25">
        <v>3</v>
      </c>
      <c r="E28" s="27">
        <v>4</v>
      </c>
      <c r="F28" s="52">
        <f>IF(IF(AND(ISERROR(B28),ISERROR(D28)),ERROR.TYPE(B28)=ERROR.TYPE(D28),IF(AND(NOT(ISERROR(B28)),NOT(ISERROR(D28))),AND(ISBLANK(B28)=ISBLANK(D28),B28=D28))),0+1,"ERR!")</f>
        <v>1</v>
      </c>
      <c r="G28" s="53">
        <f>IF(IF(AND(ISERROR(C28),ISERROR(E28)),ERROR.TYPE(C28)=ERROR.TYPE(E28),IF(AND(NOT(ISERROR(C28)),NOT(ISERROR(E28))),AND(ISBLANK(C28)=ISBLANK(E28),C28=E28))),1+0,"ERR!")</f>
        <v>1</v>
      </c>
      <c r="H28">
        <v>0</v>
      </c>
      <c r="I28">
        <v>1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Q25"/>
  <sheetViews>
    <sheetView workbookViewId="0"/>
  </sheetViews>
  <sheetFormatPr defaultRowHeight="15"/>
  <cols>
    <col min="1" max="1" width="30.7109375" customWidth="1"/>
    <col min="2" max="17" width="5.7109375" customWidth="1"/>
  </cols>
  <sheetData>
    <row r="1" spans="1:17" ht="22.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3" spans="1:17" ht="18">
      <c r="A3" s="2" t="s">
        <v>664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 t="s">
        <v>617</v>
      </c>
      <c r="O3" s="2"/>
      <c r="P3" s="2"/>
      <c r="Q3" s="2"/>
    </row>
    <row r="4" spans="1:17">
      <c r="N4" s="28">
        <v>0</v>
      </c>
    </row>
    <row r="5" spans="1:17" ht="15.75">
      <c r="A5" s="8" t="s">
        <v>665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7">
      <c r="A6" s="4" t="s">
        <v>4</v>
      </c>
      <c r="B6" s="4" t="s">
        <v>5</v>
      </c>
      <c r="C6" s="4"/>
      <c r="D6" s="4"/>
      <c r="E6" s="4"/>
      <c r="F6" s="4" t="s">
        <v>6</v>
      </c>
      <c r="G6" s="4"/>
      <c r="H6" s="4"/>
      <c r="I6" s="4"/>
      <c r="J6" s="4" t="s">
        <v>7</v>
      </c>
      <c r="K6" s="4"/>
      <c r="L6" s="4"/>
      <c r="M6" s="4"/>
      <c r="N6" s="4" t="s">
        <v>637</v>
      </c>
      <c r="O6" s="4"/>
      <c r="P6" s="4"/>
      <c r="Q6" s="4"/>
    </row>
    <row r="7" spans="1:17">
      <c r="A7" s="5" t="s">
        <v>615</v>
      </c>
      <c r="B7" s="19">
        <f t="shared" ref="B7:E10" si="0">N7/2*(N7+1)</f>
        <v>0</v>
      </c>
      <c r="C7" s="20">
        <f t="shared" si="0"/>
        <v>1</v>
      </c>
      <c r="D7" s="20">
        <f t="shared" si="0"/>
        <v>3</v>
      </c>
      <c r="E7" s="21">
        <f t="shared" si="0"/>
        <v>6</v>
      </c>
      <c r="F7" s="20">
        <f>shared_test/2*(shared_test+1)</f>
        <v>0</v>
      </c>
      <c r="G7" s="20">
        <f>(shared_test+1)/2*(shared_test+2)</f>
        <v>1</v>
      </c>
      <c r="H7" s="20">
        <f>(shared_test+2)/2*(shared_test+3)</f>
        <v>3</v>
      </c>
      <c r="I7" s="21">
        <f>(shared_test+3)/2*(shared_test+4)</f>
        <v>6</v>
      </c>
      <c r="J7" s="50">
        <f>IF(IF(AND(ISERROR(B7),ISERROR(F7)),ERROR.TYPE(B7)=ERROR.TYPE(F7),IF(AND(NOT(ISERROR(B7)),NOT(ISERROR(F7))),AND(ISBLANK(B7)=ISBLANK(F7),B7=F7))),1+0,"ERR!")</f>
        <v>1</v>
      </c>
      <c r="K7" s="54">
        <f>IF(IF(AND(ISERROR(C7),ISERROR(G7)),ERROR.TYPE(C7)=ERROR.TYPE(G7),IF(AND(NOT(ISERROR(C7)),NOT(ISERROR(G7))),AND(ISBLANK(C7)=ISBLANK(G7),C7=G7))),0+1,"ERR!")</f>
        <v>1</v>
      </c>
      <c r="L7" s="54">
        <f>IF(IF(AND(ISERROR(D7),ISERROR(H7)),ERROR.TYPE(D7)=ERROR.TYPE(H7),IF(AND(NOT(ISERROR(D7)),NOT(ISERROR(H7))),AND(ISBLANK(D7)=ISBLANK(H7),D7=H7))),1+0,"ERR!")</f>
        <v>1</v>
      </c>
      <c r="M7" s="51">
        <f>IF(IF(AND(ISERROR(E7),ISERROR(I7)),ERROR.TYPE(E7)=ERROR.TYPE(I7),IF(AND(NOT(ISERROR(E7)),NOT(ISERROR(I7))),AND(ISBLANK(E7)=ISBLANK(I7),E7=I7))),0+1,"ERR!")</f>
        <v>1</v>
      </c>
      <c r="N7">
        <f>shared_test</f>
        <v>0</v>
      </c>
      <c r="O7">
        <f>shared_test+1</f>
        <v>1</v>
      </c>
      <c r="P7">
        <f>shared_test+2</f>
        <v>2</v>
      </c>
      <c r="Q7">
        <f>shared_test+3</f>
        <v>3</v>
      </c>
    </row>
    <row r="8" spans="1:17">
      <c r="A8" s="18" t="s">
        <v>616</v>
      </c>
      <c r="B8" s="22">
        <f t="shared" si="0"/>
        <v>10</v>
      </c>
      <c r="C8" s="23">
        <f t="shared" si="0"/>
        <v>15</v>
      </c>
      <c r="D8" s="23">
        <f t="shared" si="0"/>
        <v>21</v>
      </c>
      <c r="E8" s="24">
        <f t="shared" si="0"/>
        <v>28</v>
      </c>
      <c r="F8" s="23">
        <f>(shared_test+4)/2*(shared_test+5)</f>
        <v>10</v>
      </c>
      <c r="G8" s="23">
        <f>(shared_test+5)/2*(shared_test+6)</f>
        <v>15</v>
      </c>
      <c r="H8" s="23">
        <f>(shared_test+6)/2*(shared_test+7)</f>
        <v>21</v>
      </c>
      <c r="I8" s="24">
        <f>(shared_test+7)/2*(shared_test+8)</f>
        <v>28</v>
      </c>
      <c r="J8" s="55">
        <f>IF(IF(AND(ISERROR(B8),ISERROR(F8)),ERROR.TYPE(B8)=ERROR.TYPE(F8),IF(AND(NOT(ISERROR(B8)),NOT(ISERROR(F8))),AND(ISBLANK(B8)=ISBLANK(F8),B8=F8))),0+1,"ERR!")</f>
        <v>1</v>
      </c>
      <c r="K8" s="56">
        <f>IF(IF(AND(ISERROR(C8),ISERROR(G8)),ERROR.TYPE(C8)=ERROR.TYPE(G8),IF(AND(NOT(ISERROR(C8)),NOT(ISERROR(G8))),AND(ISBLANK(C8)=ISBLANK(G8),C8=G8))),1+0,"ERR!")</f>
        <v>1</v>
      </c>
      <c r="L8" s="56">
        <f>IF(IF(AND(ISERROR(D8),ISERROR(H8)),ERROR.TYPE(D8)=ERROR.TYPE(H8),IF(AND(NOT(ISERROR(D8)),NOT(ISERROR(H8))),AND(ISBLANK(D8)=ISBLANK(H8),D8=H8))),0+1,"ERR!")</f>
        <v>1</v>
      </c>
      <c r="M8" s="57">
        <f>IF(IF(AND(ISERROR(E8),ISERROR(I8)),ERROR.TYPE(E8)=ERROR.TYPE(I8),IF(AND(NOT(ISERROR(E8)),NOT(ISERROR(I8))),AND(ISBLANK(E8)=ISBLANK(I8),E8=I8))),1+0,"ERR!")</f>
        <v>1</v>
      </c>
      <c r="N8">
        <f>shared_test+4</f>
        <v>4</v>
      </c>
      <c r="O8">
        <f>shared_test+5</f>
        <v>5</v>
      </c>
      <c r="P8">
        <f>shared_test+6</f>
        <v>6</v>
      </c>
      <c r="Q8">
        <f>shared_test+7</f>
        <v>7</v>
      </c>
    </row>
    <row r="9" spans="1:17">
      <c r="B9" s="22">
        <f t="shared" si="0"/>
        <v>36</v>
      </c>
      <c r="C9" s="23">
        <f t="shared" si="0"/>
        <v>45</v>
      </c>
      <c r="D9" s="23">
        <f t="shared" si="0"/>
        <v>55</v>
      </c>
      <c r="E9" s="24">
        <f t="shared" si="0"/>
        <v>66</v>
      </c>
      <c r="F9" s="23">
        <f>(shared_test+8)/2*(shared_test+9)</f>
        <v>36</v>
      </c>
      <c r="G9" s="23">
        <f>(shared_test+9)/2*(shared_test+10)</f>
        <v>45</v>
      </c>
      <c r="H9" s="23">
        <f>(shared_test+10)/2*(shared_test+11)</f>
        <v>55</v>
      </c>
      <c r="I9" s="24">
        <f>(shared_test+11)/2*(shared_test+12)</f>
        <v>66</v>
      </c>
      <c r="J9" s="55">
        <f>IF(IF(AND(ISERROR(B9),ISERROR(F9)),ERROR.TYPE(B9)=ERROR.TYPE(F9),IF(AND(NOT(ISERROR(B9)),NOT(ISERROR(F9))),AND(ISBLANK(B9)=ISBLANK(F9),B9=F9))),1+0,"ERR!")</f>
        <v>1</v>
      </c>
      <c r="K9" s="56">
        <f>IF(IF(AND(ISERROR(C9),ISERROR(G9)),ERROR.TYPE(C9)=ERROR.TYPE(G9),IF(AND(NOT(ISERROR(C9)),NOT(ISERROR(G9))),AND(ISBLANK(C9)=ISBLANK(G9),C9=G9))),0+1,"ERR!")</f>
        <v>1</v>
      </c>
      <c r="L9" s="56">
        <f>IF(IF(AND(ISERROR(D9),ISERROR(H9)),ERROR.TYPE(D9)=ERROR.TYPE(H9),IF(AND(NOT(ISERROR(D9)),NOT(ISERROR(H9))),AND(ISBLANK(D9)=ISBLANK(H9),D9=H9))),1+0,"ERR!")</f>
        <v>1</v>
      </c>
      <c r="M9" s="57">
        <f>IF(IF(AND(ISERROR(E9),ISERROR(I9)),ERROR.TYPE(E9)=ERROR.TYPE(I9),IF(AND(NOT(ISERROR(E9)),NOT(ISERROR(I9))),AND(ISBLANK(E9)=ISBLANK(I9),E9=I9))),0+1,"ERR!")</f>
        <v>1</v>
      </c>
      <c r="N9">
        <f>shared_test+8</f>
        <v>8</v>
      </c>
      <c r="O9">
        <f>shared_test+9</f>
        <v>9</v>
      </c>
      <c r="P9">
        <f>shared_test+10</f>
        <v>10</v>
      </c>
      <c r="Q9">
        <f>shared_test+11</f>
        <v>11</v>
      </c>
    </row>
    <row r="10" spans="1:17">
      <c r="B10" s="25">
        <f t="shared" si="0"/>
        <v>78</v>
      </c>
      <c r="C10" s="26">
        <f t="shared" si="0"/>
        <v>91</v>
      </c>
      <c r="D10" s="26">
        <f t="shared" si="0"/>
        <v>105</v>
      </c>
      <c r="E10" s="27">
        <f t="shared" si="0"/>
        <v>120</v>
      </c>
      <c r="F10" s="26">
        <f>(shared_test+12)/2*(shared_test+13)</f>
        <v>78</v>
      </c>
      <c r="G10" s="26">
        <f>(shared_test+13)/2*(shared_test+14)</f>
        <v>91</v>
      </c>
      <c r="H10" s="26">
        <f>(shared_test+14)/2*(shared_test+15)</f>
        <v>105</v>
      </c>
      <c r="I10" s="27">
        <f>(shared_test+15)/2*(shared_test+16)</f>
        <v>120</v>
      </c>
      <c r="J10" s="52">
        <f>IF(IF(AND(ISERROR(B10),ISERROR(F10)),ERROR.TYPE(B10)=ERROR.TYPE(F10),IF(AND(NOT(ISERROR(B10)),NOT(ISERROR(F10))),AND(ISBLANK(B10)=ISBLANK(F10),B10=F10))),0+1,"ERR!")</f>
        <v>1</v>
      </c>
      <c r="K10" s="58">
        <f>IF(IF(AND(ISERROR(C10),ISERROR(G10)),ERROR.TYPE(C10)=ERROR.TYPE(G10),IF(AND(NOT(ISERROR(C10)),NOT(ISERROR(G10))),AND(ISBLANK(C10)=ISBLANK(G10),C10=G10))),1+0,"ERR!")</f>
        <v>1</v>
      </c>
      <c r="L10" s="58">
        <f>IF(IF(AND(ISERROR(D10),ISERROR(H10)),ERROR.TYPE(D10)=ERROR.TYPE(H10),IF(AND(NOT(ISERROR(D10)),NOT(ISERROR(H10))),AND(ISBLANK(D10)=ISBLANK(H10),D10=H10))),0+1,"ERR!")</f>
        <v>1</v>
      </c>
      <c r="M10" s="53">
        <f>IF(IF(AND(ISERROR(E10),ISERROR(I10)),ERROR.TYPE(E10)=ERROR.TYPE(I10),IF(AND(NOT(ISERROR(E10)),NOT(ISERROR(I10))),AND(ISBLANK(E10)=ISBLANK(I10),E10=I10))),1+0,"ERR!")</f>
        <v>1</v>
      </c>
      <c r="N10">
        <f>shared_test+12</f>
        <v>12</v>
      </c>
      <c r="O10">
        <f>shared_test+13</f>
        <v>13</v>
      </c>
      <c r="P10">
        <f>shared_test+14</f>
        <v>14</v>
      </c>
      <c r="Q10">
        <f>shared_test+15</f>
        <v>15</v>
      </c>
    </row>
    <row r="12" spans="1:17" ht="15.75">
      <c r="A12" s="8" t="s">
        <v>666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7">
      <c r="A13" s="4" t="s">
        <v>4</v>
      </c>
      <c r="B13" s="4" t="s">
        <v>5</v>
      </c>
      <c r="C13" s="4"/>
      <c r="D13" s="4"/>
      <c r="E13" s="4"/>
      <c r="F13" s="4" t="s">
        <v>6</v>
      </c>
      <c r="G13" s="4"/>
      <c r="H13" s="4"/>
      <c r="I13" s="4"/>
      <c r="J13" s="4" t="s">
        <v>7</v>
      </c>
      <c r="K13" s="4"/>
      <c r="L13" s="4"/>
      <c r="M13" s="4"/>
      <c r="N13" s="4" t="s">
        <v>637</v>
      </c>
      <c r="O13" s="4"/>
      <c r="P13" s="4"/>
      <c r="Q13" s="4"/>
    </row>
    <row r="14" spans="1:17">
      <c r="A14" s="29" t="s">
        <v>620</v>
      </c>
      <c r="B14" s="42"/>
      <c r="C14" s="41"/>
      <c r="D14" s="41"/>
      <c r="E14" s="36">
        <f t="shared" ref="B14:E17" si="1">Q14/2*(Q14+1)</f>
        <v>6</v>
      </c>
      <c r="F14" s="42"/>
      <c r="G14" s="41"/>
      <c r="H14" s="41"/>
      <c r="I14" s="36">
        <f>(shared_test+3)/2*(shared_test+4)</f>
        <v>6</v>
      </c>
      <c r="J14" s="50">
        <f>IF(IF(AND(ISERROR(B14),ISERROR(F14)),ERROR.TYPE(B14)=ERROR.TYPE(F14),IF(AND(NOT(ISERROR(B14)),NOT(ISERROR(F14))),AND(ISBLANK(B14)=ISBLANK(F14),B14=F14))),1+0,"ERR!")</f>
        <v>1</v>
      </c>
      <c r="K14" s="54">
        <f>IF(IF(AND(ISERROR(C14),ISERROR(G14)),ERROR.TYPE(C14)=ERROR.TYPE(G14),IF(AND(NOT(ISERROR(C14)),NOT(ISERROR(G14))),AND(ISBLANK(C14)=ISBLANK(G14),C14=G14))),0+1,"ERR!")</f>
        <v>1</v>
      </c>
      <c r="L14" s="54">
        <f>IF(IF(AND(ISERROR(D14),ISERROR(H14)),ERROR.TYPE(D14)=ERROR.TYPE(H14),IF(AND(NOT(ISERROR(D14)),NOT(ISERROR(H14))),AND(ISBLANK(D14)=ISBLANK(H14),D14=H14))),1+0,"ERR!")</f>
        <v>1</v>
      </c>
      <c r="M14" s="51">
        <f>IF(IF(AND(ISERROR(E14),ISERROR(I14)),ERROR.TYPE(E14)=ERROR.TYPE(I14),IF(AND(NOT(ISERROR(E14)),NOT(ISERROR(I14))),AND(ISBLANK(E14)=ISBLANK(I14),E14=I14))),0+1,"ERR!")</f>
        <v>1</v>
      </c>
      <c r="N14">
        <f>shared_test</f>
        <v>0</v>
      </c>
      <c r="O14">
        <f>shared_test+1</f>
        <v>1</v>
      </c>
      <c r="P14">
        <f>shared_test+2</f>
        <v>2</v>
      </c>
      <c r="Q14">
        <f>shared_test+3</f>
        <v>3</v>
      </c>
    </row>
    <row r="15" spans="1:17">
      <c r="A15" s="30" t="s">
        <v>618</v>
      </c>
      <c r="B15" s="31">
        <f t="shared" si="1"/>
        <v>10</v>
      </c>
      <c r="C15" s="32">
        <f t="shared" si="1"/>
        <v>15</v>
      </c>
      <c r="D15" s="39"/>
      <c r="E15" s="37">
        <f t="shared" si="1"/>
        <v>28</v>
      </c>
      <c r="F15" s="31">
        <f>(shared_test+4)/2*(shared_test+5)</f>
        <v>10</v>
      </c>
      <c r="G15" s="32">
        <f>(shared_test+5)/2*(shared_test+6)</f>
        <v>15</v>
      </c>
      <c r="H15" s="39"/>
      <c r="I15" s="37">
        <f>(shared_test+7)/2*(shared_test+8)</f>
        <v>28</v>
      </c>
      <c r="J15" s="55">
        <f>IF(IF(AND(ISERROR(B15),ISERROR(F15)),ERROR.TYPE(B15)=ERROR.TYPE(F15),IF(AND(NOT(ISERROR(B15)),NOT(ISERROR(F15))),AND(ISBLANK(B15)=ISBLANK(F15),B15=F15))),0+1,"ERR!")</f>
        <v>1</v>
      </c>
      <c r="K15" s="56">
        <f>IF(IF(AND(ISERROR(C15),ISERROR(G15)),ERROR.TYPE(C15)=ERROR.TYPE(G15),IF(AND(NOT(ISERROR(C15)),NOT(ISERROR(G15))),AND(ISBLANK(C15)=ISBLANK(G15),C15=G15))),1+0,"ERR!")</f>
        <v>1</v>
      </c>
      <c r="L15" s="56">
        <f>IF(IF(AND(ISERROR(D15),ISERROR(H15)),ERROR.TYPE(D15)=ERROR.TYPE(H15),IF(AND(NOT(ISERROR(D15)),NOT(ISERROR(H15))),AND(ISBLANK(D15)=ISBLANK(H15),D15=H15))),0+1,"ERR!")</f>
        <v>1</v>
      </c>
      <c r="M15" s="57">
        <f>IF(IF(AND(ISERROR(E15),ISERROR(I15)),ERROR.TYPE(E15)=ERROR.TYPE(I15),IF(AND(NOT(ISERROR(E15)),NOT(ISERROR(I15))),AND(ISBLANK(E15)=ISBLANK(I15),E15=I15))),1+0,"ERR!")</f>
        <v>1</v>
      </c>
      <c r="N15">
        <f>shared_test+4</f>
        <v>4</v>
      </c>
      <c r="O15">
        <f>shared_test+5</f>
        <v>5</v>
      </c>
      <c r="P15">
        <f>shared_test+6</f>
        <v>6</v>
      </c>
      <c r="Q15">
        <f>shared_test+7</f>
        <v>7</v>
      </c>
    </row>
    <row r="16" spans="1:17">
      <c r="A16" s="38" t="s">
        <v>619</v>
      </c>
      <c r="B16" s="31">
        <f t="shared" si="1"/>
        <v>36</v>
      </c>
      <c r="C16" s="39" t="s">
        <v>621</v>
      </c>
      <c r="D16" s="39" t="s">
        <v>622</v>
      </c>
      <c r="E16" s="37">
        <f t="shared" si="1"/>
        <v>66</v>
      </c>
      <c r="F16" s="31">
        <f>(shared_test+8)/2*(shared_test+9)</f>
        <v>36</v>
      </c>
      <c r="G16" s="39" t="s">
        <v>621</v>
      </c>
      <c r="H16" s="39" t="s">
        <v>622</v>
      </c>
      <c r="I16" s="37">
        <f>(shared_test+11)/2*(shared_test+12)</f>
        <v>66</v>
      </c>
      <c r="J16" s="55">
        <f>IF(IF(AND(ISERROR(B16),ISERROR(F16)),ERROR.TYPE(B16)=ERROR.TYPE(F16),IF(AND(NOT(ISERROR(B16)),NOT(ISERROR(F16))),AND(ISBLANK(B16)=ISBLANK(F16),B16=F16))),1+0,"ERR!")</f>
        <v>1</v>
      </c>
      <c r="K16" s="56">
        <f>IF(IF(AND(ISERROR(C16),ISERROR(G16)),ERROR.TYPE(C16)=ERROR.TYPE(G16),IF(AND(NOT(ISERROR(C16)),NOT(ISERROR(G16))),AND(ISBLANK(C16)=ISBLANK(G16),C16=G16))),0+1,"ERR!")</f>
        <v>1</v>
      </c>
      <c r="L16" s="56">
        <f>IF(IF(AND(ISERROR(D16),ISERROR(H16)),ERROR.TYPE(D16)=ERROR.TYPE(H16),IF(AND(NOT(ISERROR(D16)),NOT(ISERROR(H16))),AND(ISBLANK(D16)=ISBLANK(H16),D16=H16))),1+0,"ERR!")</f>
        <v>1</v>
      </c>
      <c r="M16" s="57">
        <f>IF(IF(AND(ISERROR(E16),ISERROR(I16)),ERROR.TYPE(E16)=ERROR.TYPE(I16),IF(AND(NOT(ISERROR(E16)),NOT(ISERROR(I16))),AND(ISBLANK(E16)=ISBLANK(I16),E16=I16))),0+1,"ERR!")</f>
        <v>1</v>
      </c>
      <c r="N16">
        <f>shared_test+8</f>
        <v>8</v>
      </c>
      <c r="O16">
        <f>shared_test+9</f>
        <v>9</v>
      </c>
      <c r="P16">
        <f>shared_test+10</f>
        <v>10</v>
      </c>
      <c r="Q16">
        <f>shared_test+11</f>
        <v>11</v>
      </c>
    </row>
    <row r="17" spans="1:17">
      <c r="B17" s="33">
        <f t="shared" si="1"/>
        <v>78</v>
      </c>
      <c r="C17" s="40" t="s">
        <v>623</v>
      </c>
      <c r="D17" s="34">
        <f t="shared" si="1"/>
        <v>105</v>
      </c>
      <c r="E17" s="35">
        <f t="shared" si="1"/>
        <v>120</v>
      </c>
      <c r="F17" s="33">
        <f>(shared_test+12)/2*(shared_test+13)</f>
        <v>78</v>
      </c>
      <c r="G17" s="40" t="s">
        <v>623</v>
      </c>
      <c r="H17" s="34">
        <f>(shared_test+14)/2*(shared_test+15)</f>
        <v>105</v>
      </c>
      <c r="I17" s="35">
        <f>(shared_test+15)/2*(shared_test+16)</f>
        <v>120</v>
      </c>
      <c r="J17" s="52">
        <f>IF(IF(AND(ISERROR(B17),ISERROR(F17)),ERROR.TYPE(B17)=ERROR.TYPE(F17),IF(AND(NOT(ISERROR(B17)),NOT(ISERROR(F17))),AND(ISBLANK(B17)=ISBLANK(F17),B17=F17))),0+1,"ERR!")</f>
        <v>1</v>
      </c>
      <c r="K17" s="58">
        <f>IF(IF(AND(ISERROR(C17),ISERROR(G17)),ERROR.TYPE(C17)=ERROR.TYPE(G17),IF(AND(NOT(ISERROR(C17)),NOT(ISERROR(G17))),AND(ISBLANK(C17)=ISBLANK(G17),C17=G17))),1+0,"ERR!")</f>
        <v>1</v>
      </c>
      <c r="L17" s="58">
        <f>IF(IF(AND(ISERROR(D17),ISERROR(H17)),ERROR.TYPE(D17)=ERROR.TYPE(H17),IF(AND(NOT(ISERROR(D17)),NOT(ISERROR(H17))),AND(ISBLANK(D17)=ISBLANK(H17),D17=H17))),0+1,"ERR!")</f>
        <v>1</v>
      </c>
      <c r="M17" s="53">
        <f>IF(IF(AND(ISERROR(E17),ISERROR(I17)),ERROR.TYPE(E17)=ERROR.TYPE(I17),IF(AND(NOT(ISERROR(E17)),NOT(ISERROR(I17))),AND(ISBLANK(E17)=ISBLANK(I17),E17=I17))),1+0,"ERR!")</f>
        <v>1</v>
      </c>
      <c r="N17">
        <f>shared_test+12</f>
        <v>12</v>
      </c>
      <c r="O17">
        <f>shared_test+13</f>
        <v>13</v>
      </c>
      <c r="P17">
        <f>shared_test+14</f>
        <v>14</v>
      </c>
      <c r="Q17">
        <f>shared_test+15</f>
        <v>15</v>
      </c>
    </row>
    <row r="19" spans="1:17" ht="15.75">
      <c r="A19" s="8" t="s">
        <v>667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>
      <c r="A20" s="4" t="s">
        <v>4</v>
      </c>
      <c r="B20" s="4" t="s">
        <v>5</v>
      </c>
      <c r="C20" s="4"/>
      <c r="D20" s="4"/>
      <c r="E20" s="4"/>
      <c r="F20" s="4" t="s">
        <v>6</v>
      </c>
      <c r="G20" s="4"/>
      <c r="H20" s="4"/>
      <c r="I20" s="4"/>
      <c r="J20" s="4" t="s">
        <v>7</v>
      </c>
      <c r="K20" s="4"/>
      <c r="L20" s="4"/>
      <c r="M20" s="4"/>
      <c r="N20" s="4" t="s">
        <v>637</v>
      </c>
      <c r="O20" s="4"/>
      <c r="P20" s="4"/>
      <c r="Q20" s="4"/>
    </row>
    <row r="21" spans="1:17">
      <c r="A21" s="29" t="s">
        <v>624</v>
      </c>
      <c r="B21" s="42" t="s">
        <v>621</v>
      </c>
      <c r="C21" s="47">
        <f t="shared" ref="B21:D22" si="2">(O21+MIN($N$21:$Q$24))^2</f>
        <v>1</v>
      </c>
      <c r="D21" s="47">
        <f t="shared" si="2"/>
        <v>4</v>
      </c>
      <c r="E21" s="36">
        <f t="shared" ref="B21:E24" si="3">Q21/2*(Q21+1)</f>
        <v>6</v>
      </c>
      <c r="F21" s="41" t="s">
        <v>621</v>
      </c>
      <c r="G21" s="47">
        <f>(shared_test+1+MIN($N$21:$Q$24))^2</f>
        <v>1</v>
      </c>
      <c r="H21" s="47">
        <f>(shared_test+2+MIN($N$21:$Q$24))^2</f>
        <v>4</v>
      </c>
      <c r="I21" s="36">
        <f>(shared_test+3)/2*(shared_test+4)</f>
        <v>6</v>
      </c>
      <c r="J21" s="50">
        <f>IF(IF(AND(ISERROR(B21),ISERROR(F21)),ERROR.TYPE(B21)=ERROR.TYPE(F21),IF(AND(NOT(ISERROR(B21)),NOT(ISERROR(F21))),AND(ISBLANK(B21)=ISBLANK(F21),B21=F21))),1+0,"ERR!")</f>
        <v>1</v>
      </c>
      <c r="K21" s="54">
        <f>IF(IF(AND(ISERROR(C21),ISERROR(G21)),ERROR.TYPE(C21)=ERROR.TYPE(G21),IF(AND(NOT(ISERROR(C21)),NOT(ISERROR(G21))),AND(ISBLANK(C21)=ISBLANK(G21),C21=G21))),0+1,"ERR!")</f>
        <v>1</v>
      </c>
      <c r="L21" s="54">
        <f>IF(IF(AND(ISERROR(D21),ISERROR(H21)),ERROR.TYPE(D21)=ERROR.TYPE(H21),IF(AND(NOT(ISERROR(D21)),NOT(ISERROR(H21))),AND(ISBLANK(D21)=ISBLANK(H21),D21=H21))),1+0,"ERR!")</f>
        <v>1</v>
      </c>
      <c r="M21" s="51">
        <f>IF(IF(AND(ISERROR(E21),ISERROR(I21)),ERROR.TYPE(E21)=ERROR.TYPE(I21),IF(AND(NOT(ISERROR(E21)),NOT(ISERROR(I21))),AND(ISBLANK(E21)=ISBLANK(I21),E21=I21))),0+1,"ERR!")</f>
        <v>1</v>
      </c>
      <c r="N21">
        <f>shared_test</f>
        <v>0</v>
      </c>
      <c r="O21">
        <f>shared_test+1</f>
        <v>1</v>
      </c>
      <c r="P21">
        <f>shared_test+2</f>
        <v>2</v>
      </c>
      <c r="Q21">
        <f>shared_test+3</f>
        <v>3</v>
      </c>
    </row>
    <row r="22" spans="1:17">
      <c r="A22" s="30" t="s">
        <v>625</v>
      </c>
      <c r="B22" s="45">
        <f t="shared" si="2"/>
        <v>16</v>
      </c>
      <c r="C22" s="46">
        <f t="shared" si="2"/>
        <v>25</v>
      </c>
      <c r="D22" s="46">
        <f t="shared" si="2"/>
        <v>36</v>
      </c>
      <c r="E22" s="37">
        <f t="shared" si="3"/>
        <v>28</v>
      </c>
      <c r="F22" s="46">
        <f>(shared_test+4+MIN($N$21:$Q$24))^2</f>
        <v>16</v>
      </c>
      <c r="G22" s="46">
        <f>(shared_test+5+MIN($N$21:$Q$24))^2</f>
        <v>25</v>
      </c>
      <c r="H22" s="46">
        <f>(shared_test+6+MIN($N$21:$Q$24))^2</f>
        <v>36</v>
      </c>
      <c r="I22" s="37">
        <f>(shared_test+7)/2*(shared_test+8)</f>
        <v>28</v>
      </c>
      <c r="J22" s="55">
        <f>IF(IF(AND(ISERROR(B22),ISERROR(F22)),ERROR.TYPE(B22)=ERROR.TYPE(F22),IF(AND(NOT(ISERROR(B22)),NOT(ISERROR(F22))),AND(ISBLANK(B22)=ISBLANK(F22),B22=F22))),0+1,"ERR!")</f>
        <v>1</v>
      </c>
      <c r="K22" s="56">
        <f>IF(IF(AND(ISERROR(C22),ISERROR(G22)),ERROR.TYPE(C22)=ERROR.TYPE(G22),IF(AND(NOT(ISERROR(C22)),NOT(ISERROR(G22))),AND(ISBLANK(C22)=ISBLANK(G22),C22=G22))),1+0,"ERR!")</f>
        <v>1</v>
      </c>
      <c r="L22" s="56">
        <f>IF(IF(AND(ISERROR(D22),ISERROR(H22)),ERROR.TYPE(D22)=ERROR.TYPE(H22),IF(AND(NOT(ISERROR(D22)),NOT(ISERROR(H22))),AND(ISBLANK(D22)=ISBLANK(H22),D22=H22))),0+1,"ERR!")</f>
        <v>1</v>
      </c>
      <c r="M22" s="57">
        <f>IF(IF(AND(ISERROR(E22),ISERROR(I22)),ERROR.TYPE(E22)=ERROR.TYPE(I22),IF(AND(NOT(ISERROR(E22)),NOT(ISERROR(I22))),AND(ISBLANK(E22)=ISBLANK(I22),E22=I22))),1+0,"ERR!")</f>
        <v>1</v>
      </c>
      <c r="N22">
        <f>shared_test+4</f>
        <v>4</v>
      </c>
      <c r="O22">
        <f>shared_test+5</f>
        <v>5</v>
      </c>
      <c r="P22">
        <f>shared_test+6</f>
        <v>6</v>
      </c>
      <c r="Q22">
        <f>shared_test+7</f>
        <v>7</v>
      </c>
    </row>
    <row r="23" spans="1:17">
      <c r="A23" s="43" t="s">
        <v>627</v>
      </c>
      <c r="B23" s="31">
        <f t="shared" si="3"/>
        <v>36</v>
      </c>
      <c r="C23" s="32">
        <f t="shared" si="3"/>
        <v>45</v>
      </c>
      <c r="D23" s="32">
        <f t="shared" si="3"/>
        <v>55</v>
      </c>
      <c r="E23" s="37">
        <f t="shared" si="3"/>
        <v>66</v>
      </c>
      <c r="F23" s="32">
        <f>(shared_test+8)/2*(shared_test+9)</f>
        <v>36</v>
      </c>
      <c r="G23" s="32">
        <f>(shared_test+9)/2*(shared_test+10)</f>
        <v>45</v>
      </c>
      <c r="H23" s="32">
        <f>(shared_test+10)/2*(shared_test+11)</f>
        <v>55</v>
      </c>
      <c r="I23" s="37">
        <f>(shared_test+11)/2*(shared_test+12)</f>
        <v>66</v>
      </c>
      <c r="J23" s="55">
        <f>IF(IF(AND(ISERROR(B23),ISERROR(F23)),ERROR.TYPE(B23)=ERROR.TYPE(F23),IF(AND(NOT(ISERROR(B23)),NOT(ISERROR(F23))),AND(ISBLANK(B23)=ISBLANK(F23),B23=F23))),1+0,"ERR!")</f>
        <v>1</v>
      </c>
      <c r="K23" s="56">
        <f>IF(IF(AND(ISERROR(C23),ISERROR(G23)),ERROR.TYPE(C23)=ERROR.TYPE(G23),IF(AND(NOT(ISERROR(C23)),NOT(ISERROR(G23))),AND(ISBLANK(C23)=ISBLANK(G23),C23=G23))),0+1,"ERR!")</f>
        <v>1</v>
      </c>
      <c r="L23" s="56">
        <f>IF(IF(AND(ISERROR(D23),ISERROR(H23)),ERROR.TYPE(D23)=ERROR.TYPE(H23),IF(AND(NOT(ISERROR(D23)),NOT(ISERROR(H23))),AND(ISBLANK(D23)=ISBLANK(H23),D23=H23))),1+0,"ERR!")</f>
        <v>1</v>
      </c>
      <c r="M23" s="57">
        <f>IF(IF(AND(ISERROR(E23),ISERROR(I23)),ERROR.TYPE(E23)=ERROR.TYPE(I23),IF(AND(NOT(ISERROR(E23)),NOT(ISERROR(I23))),AND(ISBLANK(E23)=ISBLANK(I23),E23=I23))),0+1,"ERR!")</f>
        <v>1</v>
      </c>
      <c r="N23">
        <f>shared_test+8</f>
        <v>8</v>
      </c>
      <c r="O23">
        <f>shared_test+9</f>
        <v>9</v>
      </c>
      <c r="P23">
        <f>shared_test+10</f>
        <v>10</v>
      </c>
      <c r="Q23">
        <f>shared_test+11</f>
        <v>11</v>
      </c>
    </row>
    <row r="24" spans="1:17">
      <c r="A24" s="44" t="s">
        <v>626</v>
      </c>
      <c r="B24" s="33">
        <f t="shared" si="3"/>
        <v>78</v>
      </c>
      <c r="C24" s="34">
        <f t="shared" si="3"/>
        <v>91</v>
      </c>
      <c r="D24" s="34">
        <f t="shared" si="3"/>
        <v>105</v>
      </c>
      <c r="E24" s="35">
        <f t="shared" si="3"/>
        <v>120</v>
      </c>
      <c r="F24" s="34">
        <f>(shared_test+12)/2*(shared_test+13)</f>
        <v>78</v>
      </c>
      <c r="G24" s="34">
        <f>(shared_test+13)/2*(shared_test+14)</f>
        <v>91</v>
      </c>
      <c r="H24" s="34">
        <f>(shared_test+14)/2*(shared_test+15)</f>
        <v>105</v>
      </c>
      <c r="I24" s="35">
        <f>(shared_test+15)/2*(shared_test+16)</f>
        <v>120</v>
      </c>
      <c r="J24" s="52">
        <f>IF(IF(AND(ISERROR(B24),ISERROR(F24)),ERROR.TYPE(B24)=ERROR.TYPE(F24),IF(AND(NOT(ISERROR(B24)),NOT(ISERROR(F24))),AND(ISBLANK(B24)=ISBLANK(F24),B24=F24))),0+1,"ERR!")</f>
        <v>1</v>
      </c>
      <c r="K24" s="58">
        <f>IF(IF(AND(ISERROR(C24),ISERROR(G24)),ERROR.TYPE(C24)=ERROR.TYPE(G24),IF(AND(NOT(ISERROR(C24)),NOT(ISERROR(G24))),AND(ISBLANK(C24)=ISBLANK(G24),C24=G24))),1+0,"ERR!")</f>
        <v>1</v>
      </c>
      <c r="L24" s="58">
        <f>IF(IF(AND(ISERROR(D24),ISERROR(H24)),ERROR.TYPE(D24)=ERROR.TYPE(H24),IF(AND(NOT(ISERROR(D24)),NOT(ISERROR(H24))),AND(ISBLANK(D24)=ISBLANK(H24),D24=H24))),0+1,"ERR!")</f>
        <v>1</v>
      </c>
      <c r="M24" s="53">
        <f>IF(IF(AND(ISERROR(E24),ISERROR(I24)),ERROR.TYPE(E24)=ERROR.TYPE(I24),IF(AND(NOT(ISERROR(E24)),NOT(ISERROR(I24))),AND(ISBLANK(E24)=ISBLANK(I24),E24=I24))),1+0,"ERR!")</f>
        <v>1</v>
      </c>
      <c r="N24">
        <f>shared_test+12</f>
        <v>12</v>
      </c>
      <c r="O24">
        <f>shared_test+13</f>
        <v>13</v>
      </c>
      <c r="P24">
        <f>shared_test+14</f>
        <v>14</v>
      </c>
      <c r="Q24">
        <f>shared_test+15</f>
        <v>15</v>
      </c>
    </row>
    <row r="25" spans="1:17">
      <c r="A25" s="38" t="s">
        <v>619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N51"/>
  <sheetViews>
    <sheetView workbookViewId="0"/>
  </sheetViews>
  <sheetFormatPr defaultRowHeight="15"/>
  <cols>
    <col min="1" max="1" width="15.7109375" customWidth="1"/>
    <col min="2" max="2" width="8.7109375" customWidth="1"/>
    <col min="3" max="14" width="5.7109375" customWidth="1"/>
  </cols>
  <sheetData>
    <row r="1" spans="1:14" ht="22.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3" spans="1:14" ht="18">
      <c r="A3" s="2" t="s">
        <v>696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5" spans="1:14" ht="15.75">
      <c r="A5" s="8" t="s">
        <v>697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>
      <c r="A6" s="4" t="s">
        <v>5</v>
      </c>
      <c r="B6" s="10"/>
      <c r="C6" s="60" t="s">
        <v>698</v>
      </c>
      <c r="D6" s="61"/>
      <c r="E6" s="61"/>
      <c r="F6" s="62"/>
      <c r="G6" s="65" t="s">
        <v>6</v>
      </c>
      <c r="H6" s="10"/>
      <c r="I6" s="10"/>
      <c r="J6" s="10"/>
      <c r="K6" s="4" t="s">
        <v>7</v>
      </c>
      <c r="L6" s="10"/>
      <c r="M6" s="10"/>
      <c r="N6" s="10"/>
    </row>
    <row r="7" spans="1:14">
      <c r="C7" s="25">
        <f>A10+2</f>
        <v>3</v>
      </c>
      <c r="D7" s="26">
        <f>2-A10</f>
        <v>1</v>
      </c>
      <c r="E7" s="26">
        <f>A10*2</f>
        <v>2</v>
      </c>
      <c r="F7" s="27">
        <f>A10/2</f>
        <v>0.5</v>
      </c>
    </row>
    <row r="8" spans="1:14">
      <c r="A8" s="66" t="s">
        <v>699</v>
      </c>
      <c r="B8" s="21">
        <v>1</v>
      </c>
      <c r="C8" s="19">
        <f t="dataTable" ref="C8:F11" dt2D="0" dtr="0" r1="A10"/>
        <v>3</v>
      </c>
      <c r="D8" s="20">
        <v>1</v>
      </c>
      <c r="E8" s="20">
        <v>2</v>
      </c>
      <c r="F8" s="21">
        <v>0.5</v>
      </c>
      <c r="G8" s="19">
        <v>3</v>
      </c>
      <c r="H8" s="20">
        <v>1</v>
      </c>
      <c r="I8" s="20">
        <v>2</v>
      </c>
      <c r="J8" s="21">
        <v>0.5</v>
      </c>
      <c r="K8" s="50">
        <f>IF(IF(AND(ISERROR(C8),ISERROR(G8)),ERROR.TYPE(C8)=ERROR.TYPE(G8),IF(AND(NOT(ISERROR(C8)),NOT(ISERROR(G8))),AND(ISBLANK(C8)=ISBLANK(G8),C8=G8))),1+0,"ERR!")</f>
        <v>1</v>
      </c>
      <c r="L8" s="54">
        <f>IF(IF(AND(ISERROR(D8),ISERROR(H8)),ERROR.TYPE(D8)=ERROR.TYPE(H8),IF(AND(NOT(ISERROR(D8)),NOT(ISERROR(H8))),AND(ISBLANK(D8)=ISBLANK(H8),D8=H8))),0+1,"ERR!")</f>
        <v>1</v>
      </c>
      <c r="M8" s="54">
        <f>IF(IF(AND(ISERROR(E8),ISERROR(I8)),ERROR.TYPE(E8)=ERROR.TYPE(I8),IF(AND(NOT(ISERROR(E8)),NOT(ISERROR(I8))),AND(ISBLANK(E8)=ISBLANK(I8),E8=I8))),1+0,"ERR!")</f>
        <v>1</v>
      </c>
      <c r="N8" s="51">
        <f>IF(IF(AND(ISERROR(F8),ISERROR(J8)),ERROR.TYPE(F8)=ERROR.TYPE(J8),IF(AND(NOT(ISERROR(F8)),NOT(ISERROR(J8))),AND(ISBLANK(F8)=ISBLANK(J8),F8=J8))),0+1,"ERR!")</f>
        <v>1</v>
      </c>
    </row>
    <row r="9" spans="1:14">
      <c r="A9" s="63" t="s">
        <v>701</v>
      </c>
      <c r="B9" s="67">
        <v>2</v>
      </c>
      <c r="C9" s="22">
        <v>4</v>
      </c>
      <c r="D9" s="23">
        <v>0</v>
      </c>
      <c r="E9" s="23">
        <v>4</v>
      </c>
      <c r="F9" s="24">
        <v>1</v>
      </c>
      <c r="G9" s="22">
        <v>4</v>
      </c>
      <c r="H9" s="23">
        <v>0</v>
      </c>
      <c r="I9" s="23">
        <v>4</v>
      </c>
      <c r="J9" s="24">
        <v>1</v>
      </c>
      <c r="K9" s="55">
        <f>IF(IF(AND(ISERROR(C9),ISERROR(G9)),ERROR.TYPE(C9)=ERROR.TYPE(G9),IF(AND(NOT(ISERROR(C9)),NOT(ISERROR(G9))),AND(ISBLANK(C9)=ISBLANK(G9),C9=G9))),0+1,"ERR!")</f>
        <v>1</v>
      </c>
      <c r="L9" s="56">
        <f>IF(IF(AND(ISERROR(D9),ISERROR(H9)),ERROR.TYPE(D9)=ERROR.TYPE(H9),IF(AND(NOT(ISERROR(D9)),NOT(ISERROR(H9))),AND(ISBLANK(D9)=ISBLANK(H9),D9=H9))),1+0,"ERR!")</f>
        <v>1</v>
      </c>
      <c r="M9" s="56">
        <f>IF(IF(AND(ISERROR(E9),ISERROR(I9)),ERROR.TYPE(E9)=ERROR.TYPE(I9),IF(AND(NOT(ISERROR(E9)),NOT(ISERROR(I9))),AND(ISBLANK(E9)=ISBLANK(I9),E9=I9))),0+1,"ERR!")</f>
        <v>1</v>
      </c>
      <c r="N9" s="57">
        <f>IF(IF(AND(ISERROR(F9),ISERROR(J9)),ERROR.TYPE(F9)=ERROR.TYPE(J9),IF(AND(NOT(ISERROR(F9)),NOT(ISERROR(J9))),AND(ISBLANK(F9)=ISBLANK(J9),F9=J9))),1+0,"ERR!")</f>
        <v>1</v>
      </c>
    </row>
    <row r="10" spans="1:14">
      <c r="A10" s="64">
        <v>1</v>
      </c>
      <c r="B10" s="67">
        <v>3</v>
      </c>
      <c r="C10" s="22">
        <v>5</v>
      </c>
      <c r="D10" s="23">
        <v>-1</v>
      </c>
      <c r="E10" s="23">
        <v>6</v>
      </c>
      <c r="F10" s="24">
        <v>1.5</v>
      </c>
      <c r="G10" s="22">
        <v>5</v>
      </c>
      <c r="H10" s="23">
        <v>-1</v>
      </c>
      <c r="I10" s="23">
        <v>6</v>
      </c>
      <c r="J10" s="24">
        <v>1.5</v>
      </c>
      <c r="K10" s="55">
        <f>IF(IF(AND(ISERROR(C10),ISERROR(G10)),ERROR.TYPE(C10)=ERROR.TYPE(G10),IF(AND(NOT(ISERROR(C10)),NOT(ISERROR(G10))),AND(ISBLANK(C10)=ISBLANK(G10),C10=G10))),1+0,"ERR!")</f>
        <v>1</v>
      </c>
      <c r="L10" s="56">
        <f>IF(IF(AND(ISERROR(D10),ISERROR(H10)),ERROR.TYPE(D10)=ERROR.TYPE(H10),IF(AND(NOT(ISERROR(D10)),NOT(ISERROR(H10))),AND(ISBLANK(D10)=ISBLANK(H10),D10=H10))),0+1,"ERR!")</f>
        <v>1</v>
      </c>
      <c r="M10" s="56">
        <f>IF(IF(AND(ISERROR(E10),ISERROR(I10)),ERROR.TYPE(E10)=ERROR.TYPE(I10),IF(AND(NOT(ISERROR(E10)),NOT(ISERROR(I10))),AND(ISBLANK(E10)=ISBLANK(I10),E10=I10))),1+0,"ERR!")</f>
        <v>1</v>
      </c>
      <c r="N10" s="57">
        <f>IF(IF(AND(ISERROR(F10),ISERROR(J10)),ERROR.TYPE(F10)=ERROR.TYPE(J10),IF(AND(NOT(ISERROR(F10)),NOT(ISERROR(J10))),AND(ISBLANK(F10)=ISBLANK(J10),F10=J10))),0+1,"ERR!")</f>
        <v>1</v>
      </c>
    </row>
    <row r="11" spans="1:14">
      <c r="B11" s="64">
        <v>4</v>
      </c>
      <c r="C11" s="25">
        <v>6</v>
      </c>
      <c r="D11" s="26">
        <v>-2</v>
      </c>
      <c r="E11" s="26">
        <v>8</v>
      </c>
      <c r="F11" s="27">
        <v>2</v>
      </c>
      <c r="G11" s="25">
        <v>6</v>
      </c>
      <c r="H11" s="26">
        <v>-2</v>
      </c>
      <c r="I11" s="26">
        <v>8</v>
      </c>
      <c r="J11" s="27">
        <v>2</v>
      </c>
      <c r="K11" s="52">
        <f>IF(IF(AND(ISERROR(C11),ISERROR(G11)),ERROR.TYPE(C11)=ERROR.TYPE(G11),IF(AND(NOT(ISERROR(C11)),NOT(ISERROR(G11))),AND(ISBLANK(C11)=ISBLANK(G11),C11=G11))),0+1,"ERR!")</f>
        <v>1</v>
      </c>
      <c r="L11" s="58">
        <f>IF(IF(AND(ISERROR(D11),ISERROR(H11)),ERROR.TYPE(D11)=ERROR.TYPE(H11),IF(AND(NOT(ISERROR(D11)),NOT(ISERROR(H11))),AND(ISBLANK(D11)=ISBLANK(H11),D11=H11))),1+0,"ERR!")</f>
        <v>1</v>
      </c>
      <c r="M11" s="58">
        <f>IF(IF(AND(ISERROR(E11),ISERROR(I11)),ERROR.TYPE(E11)=ERROR.TYPE(I11),IF(AND(NOT(ISERROR(E11)),NOT(ISERROR(I11))),AND(ISBLANK(E11)=ISBLANK(I11),E11=I11))),0+1,"ERR!")</f>
        <v>1</v>
      </c>
      <c r="N11" s="53">
        <f>IF(IF(AND(ISERROR(F11),ISERROR(J11)),ERROR.TYPE(F11)=ERROR.TYPE(J11),IF(AND(NOT(ISERROR(F11)),NOT(ISERROR(J11))),AND(ISBLANK(F11)=ISBLANK(J11),F11=J11))),1+0,"ERR!")</f>
        <v>1</v>
      </c>
    </row>
    <row r="13" spans="1:14" ht="15.75">
      <c r="A13" s="8" t="s">
        <v>700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</row>
    <row r="14" spans="1:14">
      <c r="A14" s="4" t="s">
        <v>5</v>
      </c>
      <c r="B14" s="10"/>
      <c r="C14" s="60" t="s">
        <v>699</v>
      </c>
      <c r="D14" s="61"/>
      <c r="E14" s="61"/>
      <c r="F14" s="62"/>
      <c r="G14" s="65" t="s">
        <v>6</v>
      </c>
      <c r="H14" s="10"/>
      <c r="I14" s="10"/>
      <c r="J14" s="10"/>
      <c r="K14" s="4" t="s">
        <v>7</v>
      </c>
      <c r="L14" s="10"/>
      <c r="M14" s="10"/>
      <c r="N14" s="10"/>
    </row>
    <row r="15" spans="1:14">
      <c r="C15" s="25">
        <v>1</v>
      </c>
      <c r="D15" s="26">
        <v>2</v>
      </c>
      <c r="E15" s="26">
        <v>3</v>
      </c>
      <c r="F15" s="27">
        <v>4</v>
      </c>
    </row>
    <row r="16" spans="1:14">
      <c r="A16" s="68" t="s">
        <v>698</v>
      </c>
      <c r="B16" s="21">
        <f>A18+2</f>
        <v>3</v>
      </c>
      <c r="C16" s="19">
        <f t="dataTable" ref="C16:F19" dt2D="0" dtr="1" r1="A18"/>
        <v>3</v>
      </c>
      <c r="D16" s="20">
        <v>4</v>
      </c>
      <c r="E16" s="20">
        <v>5</v>
      </c>
      <c r="F16" s="21">
        <v>6</v>
      </c>
      <c r="G16" s="19">
        <v>3</v>
      </c>
      <c r="H16" s="20">
        <v>4</v>
      </c>
      <c r="I16" s="20">
        <v>5</v>
      </c>
      <c r="J16" s="21">
        <v>6</v>
      </c>
      <c r="K16" s="50">
        <f>IF(IF(AND(ISERROR(C16),ISERROR(G16)),ERROR.TYPE(C16)=ERROR.TYPE(G16),IF(AND(NOT(ISERROR(C16)),NOT(ISERROR(G16))),AND(ISBLANK(C16)=ISBLANK(G16),C16=G16))),1+0,"ERR!")</f>
        <v>1</v>
      </c>
      <c r="L16" s="54">
        <f>IF(IF(AND(ISERROR(D16),ISERROR(H16)),ERROR.TYPE(D16)=ERROR.TYPE(H16),IF(AND(NOT(ISERROR(D16)),NOT(ISERROR(H16))),AND(ISBLANK(D16)=ISBLANK(H16),D16=H16))),0+1,"ERR!")</f>
        <v>1</v>
      </c>
      <c r="M16" s="54">
        <f>IF(IF(AND(ISERROR(E16),ISERROR(I16)),ERROR.TYPE(E16)=ERROR.TYPE(I16),IF(AND(NOT(ISERROR(E16)),NOT(ISERROR(I16))),AND(ISBLANK(E16)=ISBLANK(I16),E16=I16))),1+0,"ERR!")</f>
        <v>1</v>
      </c>
      <c r="N16" s="51">
        <f>IF(IF(AND(ISERROR(F16),ISERROR(J16)),ERROR.TYPE(F16)=ERROR.TYPE(J16),IF(AND(NOT(ISERROR(F16)),NOT(ISERROR(J16))),AND(ISBLANK(F16)=ISBLANK(J16),F16=J16))),0+1,"ERR!")</f>
        <v>1</v>
      </c>
    </row>
    <row r="17" spans="1:14">
      <c r="A17" s="63" t="s">
        <v>701</v>
      </c>
      <c r="B17" s="67">
        <f>2-A18</f>
        <v>1</v>
      </c>
      <c r="C17" s="22">
        <v>1</v>
      </c>
      <c r="D17" s="23">
        <v>0</v>
      </c>
      <c r="E17" s="23">
        <v>-1</v>
      </c>
      <c r="F17" s="24">
        <v>-2</v>
      </c>
      <c r="G17" s="22">
        <v>1</v>
      </c>
      <c r="H17" s="23">
        <v>0</v>
      </c>
      <c r="I17" s="23">
        <v>-1</v>
      </c>
      <c r="J17" s="24">
        <v>-2</v>
      </c>
      <c r="K17" s="55">
        <f>IF(IF(AND(ISERROR(C17),ISERROR(G17)),ERROR.TYPE(C17)=ERROR.TYPE(G17),IF(AND(NOT(ISERROR(C17)),NOT(ISERROR(G17))),AND(ISBLANK(C17)=ISBLANK(G17),C17=G17))),0+1,"ERR!")</f>
        <v>1</v>
      </c>
      <c r="L17" s="56">
        <f>IF(IF(AND(ISERROR(D17),ISERROR(H17)),ERROR.TYPE(D17)=ERROR.TYPE(H17),IF(AND(NOT(ISERROR(D17)),NOT(ISERROR(H17))),AND(ISBLANK(D17)=ISBLANK(H17),D17=H17))),1+0,"ERR!")</f>
        <v>1</v>
      </c>
      <c r="M17" s="56">
        <f>IF(IF(AND(ISERROR(E17),ISERROR(I17)),ERROR.TYPE(E17)=ERROR.TYPE(I17),IF(AND(NOT(ISERROR(E17)),NOT(ISERROR(I17))),AND(ISBLANK(E17)=ISBLANK(I17),E17=I17))),0+1,"ERR!")</f>
        <v>1</v>
      </c>
      <c r="N17" s="57">
        <f>IF(IF(AND(ISERROR(F17),ISERROR(J17)),ERROR.TYPE(F17)=ERROR.TYPE(J17),IF(AND(NOT(ISERROR(F17)),NOT(ISERROR(J17))),AND(ISBLANK(F17)=ISBLANK(J17),F17=J17))),1+0,"ERR!")</f>
        <v>1</v>
      </c>
    </row>
    <row r="18" spans="1:14">
      <c r="A18" s="64">
        <v>1</v>
      </c>
      <c r="B18" s="67">
        <f>A18*2</f>
        <v>2</v>
      </c>
      <c r="C18" s="22">
        <v>2</v>
      </c>
      <c r="D18" s="23">
        <v>4</v>
      </c>
      <c r="E18" s="23">
        <v>6</v>
      </c>
      <c r="F18" s="24">
        <v>8</v>
      </c>
      <c r="G18" s="22">
        <v>2</v>
      </c>
      <c r="H18" s="23">
        <v>4</v>
      </c>
      <c r="I18" s="23">
        <v>6</v>
      </c>
      <c r="J18" s="24">
        <v>8</v>
      </c>
      <c r="K18" s="55">
        <f>IF(IF(AND(ISERROR(C18),ISERROR(G18)),ERROR.TYPE(C18)=ERROR.TYPE(G18),IF(AND(NOT(ISERROR(C18)),NOT(ISERROR(G18))),AND(ISBLANK(C18)=ISBLANK(G18),C18=G18))),1+0,"ERR!")</f>
        <v>1</v>
      </c>
      <c r="L18" s="56">
        <f>IF(IF(AND(ISERROR(D18),ISERROR(H18)),ERROR.TYPE(D18)=ERROR.TYPE(H18),IF(AND(NOT(ISERROR(D18)),NOT(ISERROR(H18))),AND(ISBLANK(D18)=ISBLANK(H18),D18=H18))),0+1,"ERR!")</f>
        <v>1</v>
      </c>
      <c r="M18" s="56">
        <f>IF(IF(AND(ISERROR(E18),ISERROR(I18)),ERROR.TYPE(E18)=ERROR.TYPE(I18),IF(AND(NOT(ISERROR(E18)),NOT(ISERROR(I18))),AND(ISBLANK(E18)=ISBLANK(I18),E18=I18))),1+0,"ERR!")</f>
        <v>1</v>
      </c>
      <c r="N18" s="57">
        <f>IF(IF(AND(ISERROR(F18),ISERROR(J18)),ERROR.TYPE(F18)=ERROR.TYPE(J18),IF(AND(NOT(ISERROR(F18)),NOT(ISERROR(J18))),AND(ISBLANK(F18)=ISBLANK(J18),F18=J18))),0+1,"ERR!")</f>
        <v>1</v>
      </c>
    </row>
    <row r="19" spans="1:14">
      <c r="B19" s="64">
        <f>A18/2</f>
        <v>0.5</v>
      </c>
      <c r="C19" s="25">
        <v>0.5</v>
      </c>
      <c r="D19" s="26">
        <v>1</v>
      </c>
      <c r="E19" s="26">
        <v>1.5</v>
      </c>
      <c r="F19" s="27">
        <v>2</v>
      </c>
      <c r="G19" s="25">
        <v>0.5</v>
      </c>
      <c r="H19" s="26">
        <v>1</v>
      </c>
      <c r="I19" s="26">
        <v>1.5</v>
      </c>
      <c r="J19" s="27">
        <v>2</v>
      </c>
      <c r="K19" s="52">
        <f>IF(IF(AND(ISERROR(C19),ISERROR(G19)),ERROR.TYPE(C19)=ERROR.TYPE(G19),IF(AND(NOT(ISERROR(C19)),NOT(ISERROR(G19))),AND(ISBLANK(C19)=ISBLANK(G19),C19=G19))),0+1,"ERR!")</f>
        <v>1</v>
      </c>
      <c r="L19" s="58">
        <f>IF(IF(AND(ISERROR(D19),ISERROR(H19)),ERROR.TYPE(D19)=ERROR.TYPE(H19),IF(AND(NOT(ISERROR(D19)),NOT(ISERROR(H19))),AND(ISBLANK(D19)=ISBLANK(H19),D19=H19))),1+0,"ERR!")</f>
        <v>1</v>
      </c>
      <c r="M19" s="58">
        <f>IF(IF(AND(ISERROR(E19),ISERROR(I19)),ERROR.TYPE(E19)=ERROR.TYPE(I19),IF(AND(NOT(ISERROR(E19)),NOT(ISERROR(I19))),AND(ISBLANK(E19)=ISBLANK(I19),E19=I19))),0+1,"ERR!")</f>
        <v>1</v>
      </c>
      <c r="N19" s="53">
        <f>IF(IF(AND(ISERROR(F19),ISERROR(J19)),ERROR.TYPE(F19)=ERROR.TYPE(J19),IF(AND(NOT(ISERROR(F19)),NOT(ISERROR(J19))),AND(ISBLANK(F19)=ISBLANK(J19),F19=J19))),1+0,"ERR!")</f>
        <v>1</v>
      </c>
    </row>
    <row r="21" spans="1:14" ht="15.75">
      <c r="A21" s="8" t="s">
        <v>702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</row>
    <row r="22" spans="1:14">
      <c r="A22" s="4" t="s">
        <v>5</v>
      </c>
      <c r="B22" s="63" t="s">
        <v>4</v>
      </c>
      <c r="C22" s="60" t="s">
        <v>699</v>
      </c>
      <c r="D22" s="61"/>
      <c r="E22" s="61"/>
      <c r="F22" s="62"/>
      <c r="G22" s="4" t="s">
        <v>6</v>
      </c>
      <c r="H22" s="10"/>
      <c r="I22" s="10"/>
      <c r="J22" s="10"/>
      <c r="K22" s="4" t="s">
        <v>7</v>
      </c>
      <c r="L22" s="10"/>
      <c r="M22" s="10"/>
      <c r="N22" s="10"/>
    </row>
    <row r="23" spans="1:14">
      <c r="B23" s="64">
        <f>A26^A27</f>
        <v>1</v>
      </c>
      <c r="C23" s="25">
        <v>1</v>
      </c>
      <c r="D23" s="26">
        <v>2</v>
      </c>
      <c r="E23" s="26">
        <v>3</v>
      </c>
      <c r="F23" s="27">
        <v>4</v>
      </c>
    </row>
    <row r="24" spans="1:14">
      <c r="A24" s="66" t="s">
        <v>699</v>
      </c>
      <c r="B24" s="21">
        <v>1</v>
      </c>
      <c r="C24" s="19">
        <f t="dataTable" ref="C24:F27" dt2D="1" dtr="1" r1="A26" r2="A27"/>
        <v>1</v>
      </c>
      <c r="D24" s="20">
        <v>2</v>
      </c>
      <c r="E24" s="20">
        <v>3</v>
      </c>
      <c r="F24" s="21">
        <v>4</v>
      </c>
      <c r="G24" s="19">
        <v>1</v>
      </c>
      <c r="H24" s="20">
        <v>2</v>
      </c>
      <c r="I24" s="20">
        <v>3</v>
      </c>
      <c r="J24" s="21">
        <v>4</v>
      </c>
      <c r="K24" s="50">
        <f>IF(IF(AND(ISERROR(C24),ISERROR(G24)),ERROR.TYPE(C24)=ERROR.TYPE(G24),IF(AND(NOT(ISERROR(C24)),NOT(ISERROR(G24))),AND(ISBLANK(C24)=ISBLANK(G24),C24=G24))),1+0,"ERR!")</f>
        <v>1</v>
      </c>
      <c r="L24" s="54">
        <f>IF(IF(AND(ISERROR(D24),ISERROR(H24)),ERROR.TYPE(D24)=ERROR.TYPE(H24),IF(AND(NOT(ISERROR(D24)),NOT(ISERROR(H24))),AND(ISBLANK(D24)=ISBLANK(H24),D24=H24))),0+1,"ERR!")</f>
        <v>1</v>
      </c>
      <c r="M24" s="54">
        <f>IF(IF(AND(ISERROR(E24),ISERROR(I24)),ERROR.TYPE(E24)=ERROR.TYPE(I24),IF(AND(NOT(ISERROR(E24)),NOT(ISERROR(I24))),AND(ISBLANK(E24)=ISBLANK(I24),E24=I24))),1+0,"ERR!")</f>
        <v>1</v>
      </c>
      <c r="N24" s="51">
        <f>IF(IF(AND(ISERROR(F24),ISERROR(J24)),ERROR.TYPE(F24)=ERROR.TYPE(J24),IF(AND(NOT(ISERROR(F24)),NOT(ISERROR(J24))),AND(ISBLANK(F24)=ISBLANK(J24),F24=J24))),0+1,"ERR!")</f>
        <v>1</v>
      </c>
    </row>
    <row r="25" spans="1:14">
      <c r="A25" s="63" t="s">
        <v>703</v>
      </c>
      <c r="B25" s="67">
        <v>2</v>
      </c>
      <c r="C25" s="22">
        <v>1</v>
      </c>
      <c r="D25" s="23">
        <v>4</v>
      </c>
      <c r="E25" s="23">
        <v>9</v>
      </c>
      <c r="F25" s="24">
        <v>16</v>
      </c>
      <c r="G25" s="22">
        <v>1</v>
      </c>
      <c r="H25" s="23">
        <v>4</v>
      </c>
      <c r="I25" s="23">
        <v>9</v>
      </c>
      <c r="J25" s="24">
        <v>16</v>
      </c>
      <c r="K25" s="55">
        <f>IF(IF(AND(ISERROR(C25),ISERROR(G25)),ERROR.TYPE(C25)=ERROR.TYPE(G25),IF(AND(NOT(ISERROR(C25)),NOT(ISERROR(G25))),AND(ISBLANK(C25)=ISBLANK(G25),C25=G25))),0+1,"ERR!")</f>
        <v>1</v>
      </c>
      <c r="L25" s="56">
        <f>IF(IF(AND(ISERROR(D25),ISERROR(H25)),ERROR.TYPE(D25)=ERROR.TYPE(H25),IF(AND(NOT(ISERROR(D25)),NOT(ISERROR(H25))),AND(ISBLANK(D25)=ISBLANK(H25),D25=H25))),1+0,"ERR!")</f>
        <v>1</v>
      </c>
      <c r="M25" s="56">
        <f>IF(IF(AND(ISERROR(E25),ISERROR(I25)),ERROR.TYPE(E25)=ERROR.TYPE(I25),IF(AND(NOT(ISERROR(E25)),NOT(ISERROR(I25))),AND(ISBLANK(E25)=ISBLANK(I25),E25=I25))),0+1,"ERR!")</f>
        <v>1</v>
      </c>
      <c r="N25" s="57">
        <f>IF(IF(AND(ISERROR(F25),ISERROR(J25)),ERROR.TYPE(F25)=ERROR.TYPE(J25),IF(AND(NOT(ISERROR(F25)),NOT(ISERROR(J25))),AND(ISBLANK(F25)=ISBLANK(J25),F25=J25))),1+0,"ERR!")</f>
        <v>1</v>
      </c>
    </row>
    <row r="26" spans="1:14">
      <c r="A26" s="67">
        <v>1</v>
      </c>
      <c r="B26" s="67">
        <v>3</v>
      </c>
      <c r="C26" s="22">
        <v>1</v>
      </c>
      <c r="D26" s="23">
        <v>8</v>
      </c>
      <c r="E26" s="23">
        <v>27</v>
      </c>
      <c r="F26" s="24">
        <v>64</v>
      </c>
      <c r="G26" s="22">
        <v>1</v>
      </c>
      <c r="H26" s="23">
        <v>8</v>
      </c>
      <c r="I26" s="23">
        <v>27</v>
      </c>
      <c r="J26" s="24">
        <v>64</v>
      </c>
      <c r="K26" s="55">
        <f>IF(IF(AND(ISERROR(C26),ISERROR(G26)),ERROR.TYPE(C26)=ERROR.TYPE(G26),IF(AND(NOT(ISERROR(C26)),NOT(ISERROR(G26))),AND(ISBLANK(C26)=ISBLANK(G26),C26=G26))),1+0,"ERR!")</f>
        <v>1</v>
      </c>
      <c r="L26" s="56">
        <f>IF(IF(AND(ISERROR(D26),ISERROR(H26)),ERROR.TYPE(D26)=ERROR.TYPE(H26),IF(AND(NOT(ISERROR(D26)),NOT(ISERROR(H26))),AND(ISBLANK(D26)=ISBLANK(H26),D26=H26))),0+1,"ERR!")</f>
        <v>1</v>
      </c>
      <c r="M26" s="56">
        <f>IF(IF(AND(ISERROR(E26),ISERROR(I26)),ERROR.TYPE(E26)=ERROR.TYPE(I26),IF(AND(NOT(ISERROR(E26)),NOT(ISERROR(I26))),AND(ISBLANK(E26)=ISBLANK(I26),E26=I26))),1+0,"ERR!")</f>
        <v>1</v>
      </c>
      <c r="N26" s="57">
        <f>IF(IF(AND(ISERROR(F26),ISERROR(J26)),ERROR.TYPE(F26)=ERROR.TYPE(J26),IF(AND(NOT(ISERROR(F26)),NOT(ISERROR(J26))),AND(ISBLANK(F26)=ISBLANK(J26),F26=J26))),0+1,"ERR!")</f>
        <v>1</v>
      </c>
    </row>
    <row r="27" spans="1:14">
      <c r="A27" s="64">
        <v>1</v>
      </c>
      <c r="B27" s="64">
        <v>4</v>
      </c>
      <c r="C27" s="25">
        <v>1</v>
      </c>
      <c r="D27" s="26">
        <v>16</v>
      </c>
      <c r="E27" s="26">
        <v>81</v>
      </c>
      <c r="F27" s="27">
        <v>256</v>
      </c>
      <c r="G27" s="25">
        <v>1</v>
      </c>
      <c r="H27" s="26">
        <v>16</v>
      </c>
      <c r="I27" s="26">
        <v>81</v>
      </c>
      <c r="J27" s="27">
        <v>256</v>
      </c>
      <c r="K27" s="52">
        <f>IF(IF(AND(ISERROR(C27),ISERROR(G27)),ERROR.TYPE(C27)=ERROR.TYPE(G27),IF(AND(NOT(ISERROR(C27)),NOT(ISERROR(G27))),AND(ISBLANK(C27)=ISBLANK(G27),C27=G27))),0+1,"ERR!")</f>
        <v>1</v>
      </c>
      <c r="L27" s="58">
        <f>IF(IF(AND(ISERROR(D27),ISERROR(H27)),ERROR.TYPE(D27)=ERROR.TYPE(H27),IF(AND(NOT(ISERROR(D27)),NOT(ISERROR(H27))),AND(ISBLANK(D27)=ISBLANK(H27),D27=H27))),1+0,"ERR!")</f>
        <v>1</v>
      </c>
      <c r="M27" s="58">
        <f>IF(IF(AND(ISERROR(E27),ISERROR(I27)),ERROR.TYPE(E27)=ERROR.TYPE(I27),IF(AND(NOT(ISERROR(E27)),NOT(ISERROR(I27))),AND(ISBLANK(E27)=ISBLANK(I27),E27=I27))),0+1,"ERR!")</f>
        <v>1</v>
      </c>
      <c r="N27" s="53">
        <f>IF(IF(AND(ISERROR(F27),ISERROR(J27)),ERROR.TYPE(F27)=ERROR.TYPE(J27),IF(AND(NOT(ISERROR(F27)),NOT(ISERROR(J27))),AND(ISBLANK(F27)=ISBLANK(J27),F27=J27))),1+0,"ERR!")</f>
        <v>1</v>
      </c>
    </row>
    <row r="29" spans="1:14" ht="15.75">
      <c r="A29" s="8" t="s">
        <v>704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</row>
    <row r="30" spans="1:14">
      <c r="A30" s="4" t="s">
        <v>5</v>
      </c>
      <c r="B30" s="10"/>
      <c r="C30" s="60" t="s">
        <v>698</v>
      </c>
      <c r="D30" s="61"/>
      <c r="E30" s="61"/>
      <c r="F30" s="62"/>
      <c r="G30" s="65" t="s">
        <v>6</v>
      </c>
      <c r="H30" s="10"/>
      <c r="I30" s="10"/>
      <c r="J30" s="10"/>
      <c r="K30" s="4" t="s">
        <v>7</v>
      </c>
      <c r="L30" s="10"/>
      <c r="M30" s="10"/>
      <c r="N30" s="10"/>
    </row>
    <row r="31" spans="1:14">
      <c r="C31" s="25" t="e">
        <f>#REF!+2</f>
        <v>#REF!</v>
      </c>
      <c r="D31" s="26" t="e">
        <f>2-#REF!</f>
        <v>#REF!</v>
      </c>
      <c r="E31" s="26" t="e">
        <f>#REF!*2</f>
        <v>#REF!</v>
      </c>
      <c r="F31" s="27" t="e">
        <f>#REF!/2</f>
        <v>#REF!</v>
      </c>
    </row>
    <row r="32" spans="1:14">
      <c r="A32" s="66" t="s">
        <v>699</v>
      </c>
      <c r="B32" s="21">
        <v>1</v>
      </c>
      <c r="C32" s="19" t="e">
        <f t="dataTable" ref="C32:F35" dt2D="0" dtr="0" del1="1" r1="O34"/>
        <v>#REF!</v>
      </c>
      <c r="D32" s="20" t="e">
        <v>#REF!</v>
      </c>
      <c r="E32" s="20" t="e">
        <v>#REF!</v>
      </c>
      <c r="F32" s="21" t="e">
        <v>#REF!</v>
      </c>
      <c r="G32" s="19" t="e">
        <v>#REF!</v>
      </c>
      <c r="H32" s="20" t="e">
        <v>#REF!</v>
      </c>
      <c r="I32" s="20" t="e">
        <v>#REF!</v>
      </c>
      <c r="J32" s="21" t="e">
        <v>#REF!</v>
      </c>
      <c r="K32" s="50">
        <f>IF(IF(AND(ISERROR(C32),ISERROR(G32)),ERROR.TYPE(C32)=ERROR.TYPE(G32),IF(AND(NOT(ISERROR(C32)),NOT(ISERROR(G32))),AND(ISBLANK(C32)=ISBLANK(G32),C32=G32))),1+0,"ERR!")</f>
        <v>1</v>
      </c>
      <c r="L32" s="54">
        <f>IF(IF(AND(ISERROR(D32),ISERROR(H32)),ERROR.TYPE(D32)=ERROR.TYPE(H32),IF(AND(NOT(ISERROR(D32)),NOT(ISERROR(H32))),AND(ISBLANK(D32)=ISBLANK(H32),D32=H32))),0+1,"ERR!")</f>
        <v>1</v>
      </c>
      <c r="M32" s="54">
        <f>IF(IF(AND(ISERROR(E32),ISERROR(I32)),ERROR.TYPE(E32)=ERROR.TYPE(I32),IF(AND(NOT(ISERROR(E32)),NOT(ISERROR(I32))),AND(ISBLANK(E32)=ISBLANK(I32),E32=I32))),1+0,"ERR!")</f>
        <v>1</v>
      </c>
      <c r="N32" s="51">
        <f>IF(IF(AND(ISERROR(F32),ISERROR(J32)),ERROR.TYPE(F32)=ERROR.TYPE(J32),IF(AND(NOT(ISERROR(F32)),NOT(ISERROR(J32))),AND(ISBLANK(F32)=ISBLANK(J32),F32=J32))),0+1,"ERR!")</f>
        <v>1</v>
      </c>
    </row>
    <row r="33" spans="1:14">
      <c r="B33" s="67">
        <v>2</v>
      </c>
      <c r="C33" s="22" t="e">
        <v>#REF!</v>
      </c>
      <c r="D33" s="23" t="e">
        <v>#REF!</v>
      </c>
      <c r="E33" s="23" t="e">
        <v>#REF!</v>
      </c>
      <c r="F33" s="24" t="e">
        <v>#REF!</v>
      </c>
      <c r="G33" s="22" t="e">
        <v>#REF!</v>
      </c>
      <c r="H33" s="23" t="e">
        <v>#REF!</v>
      </c>
      <c r="I33" s="23" t="e">
        <v>#REF!</v>
      </c>
      <c r="J33" s="24" t="e">
        <v>#REF!</v>
      </c>
      <c r="K33" s="55">
        <f>IF(IF(AND(ISERROR(C33),ISERROR(G33)),ERROR.TYPE(C33)=ERROR.TYPE(G33),IF(AND(NOT(ISERROR(C33)),NOT(ISERROR(G33))),AND(ISBLANK(C33)=ISBLANK(G33),C33=G33))),0+1,"ERR!")</f>
        <v>1</v>
      </c>
      <c r="L33" s="56">
        <f>IF(IF(AND(ISERROR(D33),ISERROR(H33)),ERROR.TYPE(D33)=ERROR.TYPE(H33),IF(AND(NOT(ISERROR(D33)),NOT(ISERROR(H33))),AND(ISBLANK(D33)=ISBLANK(H33),D33=H33))),1+0,"ERR!")</f>
        <v>1</v>
      </c>
      <c r="M33" s="56">
        <f>IF(IF(AND(ISERROR(E33),ISERROR(I33)),ERROR.TYPE(E33)=ERROR.TYPE(I33),IF(AND(NOT(ISERROR(E33)),NOT(ISERROR(I33))),AND(ISBLANK(E33)=ISBLANK(I33),E33=I33))),0+1,"ERR!")</f>
        <v>1</v>
      </c>
      <c r="N33" s="57">
        <f>IF(IF(AND(ISERROR(F33),ISERROR(J33)),ERROR.TYPE(F33)=ERROR.TYPE(J33),IF(AND(NOT(ISERROR(F33)),NOT(ISERROR(J33))),AND(ISBLANK(F33)=ISBLANK(J33),F33=J33))),1+0,"ERR!")</f>
        <v>1</v>
      </c>
    </row>
    <row r="34" spans="1:14">
      <c r="B34" s="67">
        <v>3</v>
      </c>
      <c r="C34" s="22" t="e">
        <v>#REF!</v>
      </c>
      <c r="D34" s="23" t="e">
        <v>#REF!</v>
      </c>
      <c r="E34" s="23" t="e">
        <v>#REF!</v>
      </c>
      <c r="F34" s="24" t="e">
        <v>#REF!</v>
      </c>
      <c r="G34" s="22" t="e">
        <v>#REF!</v>
      </c>
      <c r="H34" s="23" t="e">
        <v>#REF!</v>
      </c>
      <c r="I34" s="23" t="e">
        <v>#REF!</v>
      </c>
      <c r="J34" s="24" t="e">
        <v>#REF!</v>
      </c>
      <c r="K34" s="55">
        <f>IF(IF(AND(ISERROR(C34),ISERROR(G34)),ERROR.TYPE(C34)=ERROR.TYPE(G34),IF(AND(NOT(ISERROR(C34)),NOT(ISERROR(G34))),AND(ISBLANK(C34)=ISBLANK(G34),C34=G34))),1+0,"ERR!")</f>
        <v>1</v>
      </c>
      <c r="L34" s="56">
        <f>IF(IF(AND(ISERROR(D34),ISERROR(H34)),ERROR.TYPE(D34)=ERROR.TYPE(H34),IF(AND(NOT(ISERROR(D34)),NOT(ISERROR(H34))),AND(ISBLANK(D34)=ISBLANK(H34),D34=H34))),0+1,"ERR!")</f>
        <v>1</v>
      </c>
      <c r="M34" s="56">
        <f>IF(IF(AND(ISERROR(E34),ISERROR(I34)),ERROR.TYPE(E34)=ERROR.TYPE(I34),IF(AND(NOT(ISERROR(E34)),NOT(ISERROR(I34))),AND(ISBLANK(E34)=ISBLANK(I34),E34=I34))),1+0,"ERR!")</f>
        <v>1</v>
      </c>
      <c r="N34" s="57">
        <f>IF(IF(AND(ISERROR(F34),ISERROR(J34)),ERROR.TYPE(F34)=ERROR.TYPE(J34),IF(AND(NOT(ISERROR(F34)),NOT(ISERROR(J34))),AND(ISBLANK(F34)=ISBLANK(J34),F34=J34))),0+1,"ERR!")</f>
        <v>1</v>
      </c>
    </row>
    <row r="35" spans="1:14">
      <c r="B35" s="64">
        <v>4</v>
      </c>
      <c r="C35" s="25" t="e">
        <v>#REF!</v>
      </c>
      <c r="D35" s="26" t="e">
        <v>#REF!</v>
      </c>
      <c r="E35" s="26" t="e">
        <v>#REF!</v>
      </c>
      <c r="F35" s="27" t="e">
        <v>#REF!</v>
      </c>
      <c r="G35" s="25" t="e">
        <v>#REF!</v>
      </c>
      <c r="H35" s="26" t="e">
        <v>#REF!</v>
      </c>
      <c r="I35" s="26" t="e">
        <v>#REF!</v>
      </c>
      <c r="J35" s="27" t="e">
        <v>#REF!</v>
      </c>
      <c r="K35" s="52">
        <f>IF(IF(AND(ISERROR(C35),ISERROR(G35)),ERROR.TYPE(C35)=ERROR.TYPE(G35),IF(AND(NOT(ISERROR(C35)),NOT(ISERROR(G35))),AND(ISBLANK(C35)=ISBLANK(G35),C35=G35))),0+1,"ERR!")</f>
        <v>1</v>
      </c>
      <c r="L35" s="58">
        <f>IF(IF(AND(ISERROR(D35),ISERROR(H35)),ERROR.TYPE(D35)=ERROR.TYPE(H35),IF(AND(NOT(ISERROR(D35)),NOT(ISERROR(H35))),AND(ISBLANK(D35)=ISBLANK(H35),D35=H35))),1+0,"ERR!")</f>
        <v>1</v>
      </c>
      <c r="M35" s="58">
        <f>IF(IF(AND(ISERROR(E35),ISERROR(I35)),ERROR.TYPE(E35)=ERROR.TYPE(I35),IF(AND(NOT(ISERROR(E35)),NOT(ISERROR(I35))),AND(ISBLANK(E35)=ISBLANK(I35),E35=I35))),0+1,"ERR!")</f>
        <v>1</v>
      </c>
      <c r="N35" s="53">
        <f>IF(IF(AND(ISERROR(F35),ISERROR(J35)),ERROR.TYPE(F35)=ERROR.TYPE(J35),IF(AND(NOT(ISERROR(F35)),NOT(ISERROR(J35))),AND(ISBLANK(F35)=ISBLANK(J35),F35=J35))),1+0,"ERR!")</f>
        <v>1</v>
      </c>
    </row>
    <row r="37" spans="1:14" ht="15.75">
      <c r="A37" s="8" t="s">
        <v>705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</row>
    <row r="38" spans="1:14">
      <c r="A38" s="4" t="s">
        <v>5</v>
      </c>
      <c r="B38" s="10"/>
      <c r="C38" s="60" t="s">
        <v>699</v>
      </c>
      <c r="D38" s="61"/>
      <c r="E38" s="61"/>
      <c r="F38" s="62"/>
      <c r="G38" s="65" t="s">
        <v>6</v>
      </c>
      <c r="H38" s="10"/>
      <c r="I38" s="10"/>
      <c r="J38" s="10"/>
      <c r="K38" s="4" t="s">
        <v>7</v>
      </c>
      <c r="L38" s="10"/>
      <c r="M38" s="10"/>
      <c r="N38" s="10"/>
    </row>
    <row r="39" spans="1:14">
      <c r="C39" s="25">
        <v>1</v>
      </c>
      <c r="D39" s="26">
        <v>2</v>
      </c>
      <c r="E39" s="26">
        <v>3</v>
      </c>
      <c r="F39" s="27">
        <v>4</v>
      </c>
    </row>
    <row r="40" spans="1:14">
      <c r="A40" s="68" t="s">
        <v>698</v>
      </c>
      <c r="B40" s="21" t="e">
        <f>#REF!+2</f>
        <v>#REF!</v>
      </c>
      <c r="C40" s="19" t="e">
        <f t="dataTable" ref="C40:F43" dt2D="0" dtr="1" del1="1" r1="O42"/>
        <v>#REF!</v>
      </c>
      <c r="D40" s="20" t="e">
        <v>#REF!</v>
      </c>
      <c r="E40" s="20" t="e">
        <v>#REF!</v>
      </c>
      <c r="F40" s="21" t="e">
        <v>#REF!</v>
      </c>
      <c r="G40" s="19" t="e">
        <v>#REF!</v>
      </c>
      <c r="H40" s="20" t="e">
        <v>#REF!</v>
      </c>
      <c r="I40" s="20" t="e">
        <v>#REF!</v>
      </c>
      <c r="J40" s="21" t="e">
        <v>#REF!</v>
      </c>
      <c r="K40" s="50">
        <f>IF(IF(AND(ISERROR(C40),ISERROR(G40)),ERROR.TYPE(C40)=ERROR.TYPE(G40),IF(AND(NOT(ISERROR(C40)),NOT(ISERROR(G40))),AND(ISBLANK(C40)=ISBLANK(G40),C40=G40))),1+0,"ERR!")</f>
        <v>1</v>
      </c>
      <c r="L40" s="54">
        <f>IF(IF(AND(ISERROR(D40),ISERROR(H40)),ERROR.TYPE(D40)=ERROR.TYPE(H40),IF(AND(NOT(ISERROR(D40)),NOT(ISERROR(H40))),AND(ISBLANK(D40)=ISBLANK(H40),D40=H40))),0+1,"ERR!")</f>
        <v>1</v>
      </c>
      <c r="M40" s="54">
        <f>IF(IF(AND(ISERROR(E40),ISERROR(I40)),ERROR.TYPE(E40)=ERROR.TYPE(I40),IF(AND(NOT(ISERROR(E40)),NOT(ISERROR(I40))),AND(ISBLANK(E40)=ISBLANK(I40),E40=I40))),1+0,"ERR!")</f>
        <v>1</v>
      </c>
      <c r="N40" s="51">
        <f>IF(IF(AND(ISERROR(F40),ISERROR(J40)),ERROR.TYPE(F40)=ERROR.TYPE(J40),IF(AND(NOT(ISERROR(F40)),NOT(ISERROR(J40))),AND(ISBLANK(F40)=ISBLANK(J40),F40=J40))),0+1,"ERR!")</f>
        <v>1</v>
      </c>
    </row>
    <row r="41" spans="1:14">
      <c r="B41" s="67" t="e">
        <f>2-#REF!</f>
        <v>#REF!</v>
      </c>
      <c r="C41" s="22" t="e">
        <v>#REF!</v>
      </c>
      <c r="D41" s="23" t="e">
        <v>#REF!</v>
      </c>
      <c r="E41" s="23" t="e">
        <v>#REF!</v>
      </c>
      <c r="F41" s="24" t="e">
        <v>#REF!</v>
      </c>
      <c r="G41" s="22" t="e">
        <v>#REF!</v>
      </c>
      <c r="H41" s="23" t="e">
        <v>#REF!</v>
      </c>
      <c r="I41" s="23" t="e">
        <v>#REF!</v>
      </c>
      <c r="J41" s="24" t="e">
        <v>#REF!</v>
      </c>
      <c r="K41" s="55">
        <f>IF(IF(AND(ISERROR(C41),ISERROR(G41)),ERROR.TYPE(C41)=ERROR.TYPE(G41),IF(AND(NOT(ISERROR(C41)),NOT(ISERROR(G41))),AND(ISBLANK(C41)=ISBLANK(G41),C41=G41))),0+1,"ERR!")</f>
        <v>1</v>
      </c>
      <c r="L41" s="56">
        <f>IF(IF(AND(ISERROR(D41),ISERROR(H41)),ERROR.TYPE(D41)=ERROR.TYPE(H41),IF(AND(NOT(ISERROR(D41)),NOT(ISERROR(H41))),AND(ISBLANK(D41)=ISBLANK(H41),D41=H41))),1+0,"ERR!")</f>
        <v>1</v>
      </c>
      <c r="M41" s="56">
        <f>IF(IF(AND(ISERROR(E41),ISERROR(I41)),ERROR.TYPE(E41)=ERROR.TYPE(I41),IF(AND(NOT(ISERROR(E41)),NOT(ISERROR(I41))),AND(ISBLANK(E41)=ISBLANK(I41),E41=I41))),0+1,"ERR!")</f>
        <v>1</v>
      </c>
      <c r="N41" s="57">
        <f>IF(IF(AND(ISERROR(F41),ISERROR(J41)),ERROR.TYPE(F41)=ERROR.TYPE(J41),IF(AND(NOT(ISERROR(F41)),NOT(ISERROR(J41))),AND(ISBLANK(F41)=ISBLANK(J41),F41=J41))),1+0,"ERR!")</f>
        <v>1</v>
      </c>
    </row>
    <row r="42" spans="1:14">
      <c r="B42" s="67" t="e">
        <f>#REF!*2</f>
        <v>#REF!</v>
      </c>
      <c r="C42" s="22" t="e">
        <v>#REF!</v>
      </c>
      <c r="D42" s="23" t="e">
        <v>#REF!</v>
      </c>
      <c r="E42" s="23" t="e">
        <v>#REF!</v>
      </c>
      <c r="F42" s="24" t="e">
        <v>#REF!</v>
      </c>
      <c r="G42" s="22" t="e">
        <v>#REF!</v>
      </c>
      <c r="H42" s="23" t="e">
        <v>#REF!</v>
      </c>
      <c r="I42" s="23" t="e">
        <v>#REF!</v>
      </c>
      <c r="J42" s="24" t="e">
        <v>#REF!</v>
      </c>
      <c r="K42" s="55">
        <f>IF(IF(AND(ISERROR(C42),ISERROR(G42)),ERROR.TYPE(C42)=ERROR.TYPE(G42),IF(AND(NOT(ISERROR(C42)),NOT(ISERROR(G42))),AND(ISBLANK(C42)=ISBLANK(G42),C42=G42))),1+0,"ERR!")</f>
        <v>1</v>
      </c>
      <c r="L42" s="56">
        <f>IF(IF(AND(ISERROR(D42),ISERROR(H42)),ERROR.TYPE(D42)=ERROR.TYPE(H42),IF(AND(NOT(ISERROR(D42)),NOT(ISERROR(H42))),AND(ISBLANK(D42)=ISBLANK(H42),D42=H42))),0+1,"ERR!")</f>
        <v>1</v>
      </c>
      <c r="M42" s="56">
        <f>IF(IF(AND(ISERROR(E42),ISERROR(I42)),ERROR.TYPE(E42)=ERROR.TYPE(I42),IF(AND(NOT(ISERROR(E42)),NOT(ISERROR(I42))),AND(ISBLANK(E42)=ISBLANK(I42),E42=I42))),1+0,"ERR!")</f>
        <v>1</v>
      </c>
      <c r="N42" s="57">
        <f>IF(IF(AND(ISERROR(F42),ISERROR(J42)),ERROR.TYPE(F42)=ERROR.TYPE(J42),IF(AND(NOT(ISERROR(F42)),NOT(ISERROR(J42))),AND(ISBLANK(F42)=ISBLANK(J42),F42=J42))),0+1,"ERR!")</f>
        <v>1</v>
      </c>
    </row>
    <row r="43" spans="1:14">
      <c r="B43" s="64" t="e">
        <f>#REF!/2</f>
        <v>#REF!</v>
      </c>
      <c r="C43" s="25" t="e">
        <v>#REF!</v>
      </c>
      <c r="D43" s="26" t="e">
        <v>#REF!</v>
      </c>
      <c r="E43" s="26" t="e">
        <v>#REF!</v>
      </c>
      <c r="F43" s="27" t="e">
        <v>#REF!</v>
      </c>
      <c r="G43" s="25" t="e">
        <v>#REF!</v>
      </c>
      <c r="H43" s="26" t="e">
        <v>#REF!</v>
      </c>
      <c r="I43" s="26" t="e">
        <v>#REF!</v>
      </c>
      <c r="J43" s="27" t="e">
        <v>#REF!</v>
      </c>
      <c r="K43" s="52">
        <f>IF(IF(AND(ISERROR(C43),ISERROR(G43)),ERROR.TYPE(C43)=ERROR.TYPE(G43),IF(AND(NOT(ISERROR(C43)),NOT(ISERROR(G43))),AND(ISBLANK(C43)=ISBLANK(G43),C43=G43))),0+1,"ERR!")</f>
        <v>1</v>
      </c>
      <c r="L43" s="58">
        <f>IF(IF(AND(ISERROR(D43),ISERROR(H43)),ERROR.TYPE(D43)=ERROR.TYPE(H43),IF(AND(NOT(ISERROR(D43)),NOT(ISERROR(H43))),AND(ISBLANK(D43)=ISBLANK(H43),D43=H43))),1+0,"ERR!")</f>
        <v>1</v>
      </c>
      <c r="M43" s="58">
        <f>IF(IF(AND(ISERROR(E43),ISERROR(I43)),ERROR.TYPE(E43)=ERROR.TYPE(I43),IF(AND(NOT(ISERROR(E43)),NOT(ISERROR(I43))),AND(ISBLANK(E43)=ISBLANK(I43),E43=I43))),0+1,"ERR!")</f>
        <v>1</v>
      </c>
      <c r="N43" s="53">
        <f>IF(IF(AND(ISERROR(F43),ISERROR(J43)),ERROR.TYPE(F43)=ERROR.TYPE(J43),IF(AND(NOT(ISERROR(F43)),NOT(ISERROR(J43))),AND(ISBLANK(F43)=ISBLANK(J43),F43=J43))),1+0,"ERR!")</f>
        <v>1</v>
      </c>
    </row>
    <row r="45" spans="1:14" ht="15.75">
      <c r="A45" s="8" t="s">
        <v>706</v>
      </c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</row>
    <row r="46" spans="1:14">
      <c r="A46" s="4" t="s">
        <v>5</v>
      </c>
      <c r="B46" s="63" t="s">
        <v>4</v>
      </c>
      <c r="C46" s="60" t="s">
        <v>699</v>
      </c>
      <c r="D46" s="61"/>
      <c r="E46" s="61"/>
      <c r="F46" s="62"/>
      <c r="G46" s="4" t="s">
        <v>6</v>
      </c>
      <c r="H46" s="10"/>
      <c r="I46" s="10"/>
      <c r="J46" s="10"/>
      <c r="K46" s="4" t="s">
        <v>7</v>
      </c>
      <c r="L46" s="10"/>
      <c r="M46" s="10"/>
      <c r="N46" s="10"/>
    </row>
    <row r="47" spans="1:14">
      <c r="B47" s="64" t="e">
        <f>#REF!^#REF!</f>
        <v>#REF!</v>
      </c>
      <c r="C47" s="25">
        <v>1</v>
      </c>
      <c r="D47" s="26">
        <v>2</v>
      </c>
      <c r="E47" s="26">
        <v>3</v>
      </c>
      <c r="F47" s="27">
        <v>4</v>
      </c>
    </row>
    <row r="48" spans="1:14">
      <c r="A48" s="66" t="s">
        <v>699</v>
      </c>
      <c r="B48" s="21">
        <v>1</v>
      </c>
      <c r="C48" s="19" t="e">
        <f t="dataTable" ref="C48:F51" dt2D="1" dtr="1" del1="1" del2="1" r1="O50" r2="O51"/>
        <v>#REF!</v>
      </c>
      <c r="D48" s="20" t="e">
        <v>#REF!</v>
      </c>
      <c r="E48" s="20" t="e">
        <v>#REF!</v>
      </c>
      <c r="F48" s="21" t="e">
        <v>#REF!</v>
      </c>
      <c r="G48" s="19" t="e">
        <v>#REF!</v>
      </c>
      <c r="H48" s="20" t="e">
        <v>#REF!</v>
      </c>
      <c r="I48" s="20" t="e">
        <v>#REF!</v>
      </c>
      <c r="J48" s="21" t="e">
        <v>#REF!</v>
      </c>
      <c r="K48" s="50">
        <f>IF(IF(AND(ISERROR(C48),ISERROR(G48)),ERROR.TYPE(C48)=ERROR.TYPE(G48),IF(AND(NOT(ISERROR(C48)),NOT(ISERROR(G48))),AND(ISBLANK(C48)=ISBLANK(G48),C48=G48))),1+0,"ERR!")</f>
        <v>1</v>
      </c>
      <c r="L48" s="54">
        <f>IF(IF(AND(ISERROR(D48),ISERROR(H48)),ERROR.TYPE(D48)=ERROR.TYPE(H48),IF(AND(NOT(ISERROR(D48)),NOT(ISERROR(H48))),AND(ISBLANK(D48)=ISBLANK(H48),D48=H48))),0+1,"ERR!")</f>
        <v>1</v>
      </c>
      <c r="M48" s="54">
        <f>IF(IF(AND(ISERROR(E48),ISERROR(I48)),ERROR.TYPE(E48)=ERROR.TYPE(I48),IF(AND(NOT(ISERROR(E48)),NOT(ISERROR(I48))),AND(ISBLANK(E48)=ISBLANK(I48),E48=I48))),1+0,"ERR!")</f>
        <v>1</v>
      </c>
      <c r="N48" s="51">
        <f>IF(IF(AND(ISERROR(F48),ISERROR(J48)),ERROR.TYPE(F48)=ERROR.TYPE(J48),IF(AND(NOT(ISERROR(F48)),NOT(ISERROR(J48))),AND(ISBLANK(F48)=ISBLANK(J48),F48=J48))),0+1,"ERR!")</f>
        <v>1</v>
      </c>
    </row>
    <row r="49" spans="2:14">
      <c r="B49" s="67">
        <v>2</v>
      </c>
      <c r="C49" s="22" t="e">
        <v>#REF!</v>
      </c>
      <c r="D49" s="23" t="e">
        <v>#REF!</v>
      </c>
      <c r="E49" s="23" t="e">
        <v>#REF!</v>
      </c>
      <c r="F49" s="24" t="e">
        <v>#REF!</v>
      </c>
      <c r="G49" s="22" t="e">
        <v>#REF!</v>
      </c>
      <c r="H49" s="23" t="e">
        <v>#REF!</v>
      </c>
      <c r="I49" s="23" t="e">
        <v>#REF!</v>
      </c>
      <c r="J49" s="24" t="e">
        <v>#REF!</v>
      </c>
      <c r="K49" s="55">
        <f>IF(IF(AND(ISERROR(C49),ISERROR(G49)),ERROR.TYPE(C49)=ERROR.TYPE(G49),IF(AND(NOT(ISERROR(C49)),NOT(ISERROR(G49))),AND(ISBLANK(C49)=ISBLANK(G49),C49=G49))),0+1,"ERR!")</f>
        <v>1</v>
      </c>
      <c r="L49" s="56">
        <f>IF(IF(AND(ISERROR(D49),ISERROR(H49)),ERROR.TYPE(D49)=ERROR.TYPE(H49),IF(AND(NOT(ISERROR(D49)),NOT(ISERROR(H49))),AND(ISBLANK(D49)=ISBLANK(H49),D49=H49))),1+0,"ERR!")</f>
        <v>1</v>
      </c>
      <c r="M49" s="56">
        <f>IF(IF(AND(ISERROR(E49),ISERROR(I49)),ERROR.TYPE(E49)=ERROR.TYPE(I49),IF(AND(NOT(ISERROR(E49)),NOT(ISERROR(I49))),AND(ISBLANK(E49)=ISBLANK(I49),E49=I49))),0+1,"ERR!")</f>
        <v>1</v>
      </c>
      <c r="N49" s="57">
        <f>IF(IF(AND(ISERROR(F49),ISERROR(J49)),ERROR.TYPE(F49)=ERROR.TYPE(J49),IF(AND(NOT(ISERROR(F49)),NOT(ISERROR(J49))),AND(ISBLANK(F49)=ISBLANK(J49),F49=J49))),1+0,"ERR!")</f>
        <v>1</v>
      </c>
    </row>
    <row r="50" spans="2:14">
      <c r="B50" s="67">
        <v>3</v>
      </c>
      <c r="C50" s="22" t="e">
        <v>#REF!</v>
      </c>
      <c r="D50" s="23" t="e">
        <v>#REF!</v>
      </c>
      <c r="E50" s="23" t="e">
        <v>#REF!</v>
      </c>
      <c r="F50" s="24" t="e">
        <v>#REF!</v>
      </c>
      <c r="G50" s="22" t="e">
        <v>#REF!</v>
      </c>
      <c r="H50" s="23" t="e">
        <v>#REF!</v>
      </c>
      <c r="I50" s="23" t="e">
        <v>#REF!</v>
      </c>
      <c r="J50" s="24" t="e">
        <v>#REF!</v>
      </c>
      <c r="K50" s="55">
        <f>IF(IF(AND(ISERROR(C50),ISERROR(G50)),ERROR.TYPE(C50)=ERROR.TYPE(G50),IF(AND(NOT(ISERROR(C50)),NOT(ISERROR(G50))),AND(ISBLANK(C50)=ISBLANK(G50),C50=G50))),1+0,"ERR!")</f>
        <v>1</v>
      </c>
      <c r="L50" s="56">
        <f>IF(IF(AND(ISERROR(D50),ISERROR(H50)),ERROR.TYPE(D50)=ERROR.TYPE(H50),IF(AND(NOT(ISERROR(D50)),NOT(ISERROR(H50))),AND(ISBLANK(D50)=ISBLANK(H50),D50=H50))),0+1,"ERR!")</f>
        <v>1</v>
      </c>
      <c r="M50" s="56">
        <f>IF(IF(AND(ISERROR(E50),ISERROR(I50)),ERROR.TYPE(E50)=ERROR.TYPE(I50),IF(AND(NOT(ISERROR(E50)),NOT(ISERROR(I50))),AND(ISBLANK(E50)=ISBLANK(I50),E50=I50))),1+0,"ERR!")</f>
        <v>1</v>
      </c>
      <c r="N50" s="57">
        <f>IF(IF(AND(ISERROR(F50),ISERROR(J50)),ERROR.TYPE(F50)=ERROR.TYPE(J50),IF(AND(NOT(ISERROR(F50)),NOT(ISERROR(J50))),AND(ISBLANK(F50)=ISBLANK(J50),F50=J50))),0+1,"ERR!")</f>
        <v>1</v>
      </c>
    </row>
    <row r="51" spans="2:14">
      <c r="B51" s="64">
        <v>4</v>
      </c>
      <c r="C51" s="25" t="e">
        <v>#REF!</v>
      </c>
      <c r="D51" s="26" t="e">
        <v>#REF!</v>
      </c>
      <c r="E51" s="26" t="e">
        <v>#REF!</v>
      </c>
      <c r="F51" s="27" t="e">
        <v>#REF!</v>
      </c>
      <c r="G51" s="25" t="e">
        <v>#REF!</v>
      </c>
      <c r="H51" s="26" t="e">
        <v>#REF!</v>
      </c>
      <c r="I51" s="26" t="e">
        <v>#REF!</v>
      </c>
      <c r="J51" s="27" t="e">
        <v>#REF!</v>
      </c>
      <c r="K51" s="52">
        <f>IF(IF(AND(ISERROR(C51),ISERROR(G51)),ERROR.TYPE(C51)=ERROR.TYPE(G51),IF(AND(NOT(ISERROR(C51)),NOT(ISERROR(G51))),AND(ISBLANK(C51)=ISBLANK(G51),C51=G51))),0+1,"ERR!")</f>
        <v>1</v>
      </c>
      <c r="L51" s="58">
        <f>IF(IF(AND(ISERROR(D51),ISERROR(H51)),ERROR.TYPE(D51)=ERROR.TYPE(H51),IF(AND(NOT(ISERROR(D51)),NOT(ISERROR(H51))),AND(ISBLANK(D51)=ISBLANK(H51),D51=H51))),1+0,"ERR!")</f>
        <v>1</v>
      </c>
      <c r="M51" s="58">
        <f>IF(IF(AND(ISERROR(E51),ISERROR(I51)),ERROR.TYPE(E51)=ERROR.TYPE(I51),IF(AND(NOT(ISERROR(E51)),NOT(ISERROR(I51))),AND(ISBLANK(E51)=ISBLANK(I51),E51=I51))),0+1,"ERR!")</f>
        <v>1</v>
      </c>
      <c r="N51" s="53">
        <f>IF(IF(AND(ISERROR(F51),ISERROR(J51)),ERROR.TYPE(F51)=ERROR.TYPE(J51),IF(AND(NOT(ISERROR(F51)),NOT(ISERROR(J51))),AND(ISBLANK(F51)=ISBLANK(J51),F51=J51))),1+0,"ERR!")</f>
        <v>1</v>
      </c>
    </row>
  </sheetData>
  <dataConsolidate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</vt:i4>
      </vt:variant>
    </vt:vector>
  </HeadingPairs>
  <TitlesOfParts>
    <vt:vector size="8" baseType="lpstr">
      <vt:lpstr>Cell</vt:lpstr>
      <vt:lpstr>Table</vt:lpstr>
      <vt:lpstr>Param</vt:lpstr>
      <vt:lpstr>Functions</vt:lpstr>
      <vt:lpstr>Array</vt:lpstr>
      <vt:lpstr>Shared</vt:lpstr>
      <vt:lpstr>TableOp</vt:lpstr>
      <vt:lpstr>shared_test</vt:lpstr>
    </vt:vector>
  </TitlesOfParts>
  <Company>Sun Microsystems GmbH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Sun</cp:lastModifiedBy>
  <dcterms:created xsi:type="dcterms:W3CDTF">2007-07-11T09:13:02Z</dcterms:created>
  <dcterms:modified xsi:type="dcterms:W3CDTF">2009-06-29T16:01:12Z</dcterms:modified>
</cp:coreProperties>
</file>